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1667791f8495c2c5/Lacrosse/RMLL Website/Financials/"/>
    </mc:Choice>
  </mc:AlternateContent>
  <xr:revisionPtr revIDLastSave="0" documentId="8_{CCBE0C76-7444-42B0-809C-44B8F32D2A7C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5" i="1" l="1"/>
  <c r="H155" i="1"/>
  <c r="L154" i="1"/>
  <c r="J154" i="1"/>
  <c r="H154" i="1"/>
  <c r="L153" i="1"/>
  <c r="J153" i="1"/>
  <c r="H153" i="1"/>
  <c r="J152" i="1"/>
  <c r="L151" i="1"/>
  <c r="J151" i="1"/>
  <c r="H151" i="1"/>
  <c r="L150" i="1"/>
  <c r="J150" i="1"/>
  <c r="H150" i="1"/>
  <c r="L149" i="1"/>
  <c r="J149" i="1"/>
  <c r="H149" i="1"/>
  <c r="L148" i="1"/>
  <c r="J148" i="1"/>
  <c r="H148" i="1"/>
  <c r="L147" i="1"/>
  <c r="J147" i="1"/>
  <c r="H147" i="1"/>
  <c r="J146" i="1"/>
  <c r="J145" i="1"/>
  <c r="O96" i="1"/>
  <c r="O21" i="1"/>
  <c r="J56" i="1"/>
  <c r="G70" i="1"/>
  <c r="G72" i="1"/>
  <c r="H72" i="1"/>
  <c r="H71" i="1"/>
  <c r="G71" i="1"/>
  <c r="G54" i="1"/>
  <c r="O81" i="1" l="1"/>
  <c r="J72" i="1"/>
  <c r="J54" i="1"/>
  <c r="F18" i="1" l="1"/>
  <c r="U18" i="1" l="1"/>
  <c r="J158" i="1" l="1"/>
  <c r="H158" i="1"/>
  <c r="J70" i="1"/>
  <c r="H70" i="1" l="1"/>
  <c r="O89" i="1" l="1"/>
  <c r="O93" i="1"/>
  <c r="O88" i="1"/>
  <c r="M81" i="1" l="1"/>
  <c r="M10" i="1"/>
  <c r="K77" i="1" l="1"/>
  <c r="G42" i="1" l="1"/>
  <c r="U101" i="1"/>
  <c r="K96" i="1"/>
  <c r="L22" i="1"/>
  <c r="K70" i="1" l="1"/>
  <c r="O74" i="1" l="1"/>
  <c r="K28" i="1" l="1"/>
  <c r="K27" i="1" l="1"/>
  <c r="L27" i="1"/>
  <c r="M27" i="1"/>
  <c r="O27" i="1"/>
  <c r="O34" i="1" s="1"/>
  <c r="J27" i="1"/>
  <c r="I27" i="1"/>
  <c r="H27" i="1"/>
  <c r="G27" i="1"/>
  <c r="F27" i="1"/>
  <c r="U26" i="1"/>
  <c r="U27" i="1" l="1"/>
  <c r="U10" i="1" l="1"/>
  <c r="R102" i="1"/>
  <c r="M95" i="1" l="1"/>
  <c r="M102" i="1" s="1"/>
  <c r="L95" i="1"/>
  <c r="K95" i="1"/>
  <c r="K102" i="1" s="1"/>
  <c r="J95" i="1"/>
  <c r="J102" i="1" s="1"/>
  <c r="I95" i="1"/>
  <c r="I102" i="1" s="1"/>
  <c r="H95" i="1"/>
  <c r="H102" i="1" s="1"/>
  <c r="G95" i="1"/>
  <c r="G102" i="1" s="1"/>
  <c r="F95" i="1"/>
  <c r="F102" i="1" s="1"/>
  <c r="U59" i="1"/>
  <c r="U58" i="1"/>
  <c r="L102" i="1" l="1"/>
  <c r="O95" i="1"/>
  <c r="O102" i="1" s="1"/>
  <c r="U47" i="1" l="1"/>
  <c r="U42" i="1"/>
  <c r="M16" i="1"/>
  <c r="F16" i="1" l="1"/>
  <c r="U15" i="1"/>
  <c r="U14" i="1"/>
  <c r="U13" i="1"/>
  <c r="U12" i="1"/>
  <c r="P102" i="1"/>
  <c r="Q102" i="1" l="1"/>
  <c r="U78" i="1" l="1"/>
  <c r="U94" i="1"/>
  <c r="U22" i="1" l="1"/>
  <c r="U99" i="1" l="1"/>
  <c r="U89" i="1" l="1"/>
  <c r="U88" i="1"/>
  <c r="U49" i="1" l="1"/>
  <c r="U48" i="1"/>
  <c r="U46" i="1"/>
  <c r="U52" i="1"/>
  <c r="U51" i="1"/>
  <c r="U50" i="1"/>
  <c r="U20" i="1" l="1"/>
  <c r="N95" i="1"/>
  <c r="O53" i="1"/>
  <c r="N53" i="1"/>
  <c r="M53" i="1"/>
  <c r="L53" i="1"/>
  <c r="K53" i="1"/>
  <c r="J53" i="1"/>
  <c r="I53" i="1"/>
  <c r="H53" i="1"/>
  <c r="G53" i="1"/>
  <c r="F53" i="1"/>
  <c r="U100" i="1" l="1"/>
  <c r="U93" i="1"/>
  <c r="U98" i="1"/>
  <c r="U97" i="1"/>
  <c r="U92" i="1"/>
  <c r="U91" i="1"/>
  <c r="U90" i="1"/>
  <c r="U87" i="1"/>
  <c r="U85" i="1"/>
  <c r="U84" i="1"/>
  <c r="U83" i="1"/>
  <c r="U82" i="1"/>
  <c r="U81" i="1"/>
  <c r="U76" i="1" l="1"/>
  <c r="U75" i="1"/>
  <c r="U74" i="1"/>
  <c r="U72" i="1"/>
  <c r="U71" i="1"/>
  <c r="U70" i="1"/>
  <c r="U67" i="1"/>
  <c r="U65" i="1"/>
  <c r="U63" i="1"/>
  <c r="U61" i="1"/>
  <c r="U60" i="1"/>
  <c r="U57" i="1"/>
  <c r="U56" i="1"/>
  <c r="U55" i="1"/>
  <c r="U54" i="1"/>
  <c r="U45" i="1"/>
  <c r="U41" i="1"/>
  <c r="U40" i="1"/>
  <c r="U39" i="1"/>
  <c r="U37" i="1"/>
  <c r="U32" i="1"/>
  <c r="U31" i="1"/>
  <c r="U30" i="1"/>
  <c r="U24" i="1"/>
  <c r="F33" i="1"/>
  <c r="F34" i="1" s="1"/>
  <c r="U96" i="1" l="1"/>
  <c r="O73" i="1"/>
  <c r="O68" i="1"/>
  <c r="O62" i="1"/>
  <c r="O79" i="1" l="1"/>
  <c r="O103" i="1" s="1"/>
  <c r="U28" i="1"/>
  <c r="U21" i="1"/>
  <c r="U77" i="1"/>
  <c r="O104" i="1" l="1"/>
  <c r="N102" i="1" l="1"/>
  <c r="N73" i="1"/>
  <c r="M73" i="1"/>
  <c r="L73" i="1"/>
  <c r="K73" i="1"/>
  <c r="J73" i="1"/>
  <c r="I73" i="1"/>
  <c r="H73" i="1"/>
  <c r="G73" i="1"/>
  <c r="F73" i="1"/>
  <c r="N68" i="1"/>
  <c r="M68" i="1"/>
  <c r="L68" i="1"/>
  <c r="K68" i="1"/>
  <c r="J68" i="1"/>
  <c r="I68" i="1"/>
  <c r="H68" i="1"/>
  <c r="G68" i="1"/>
  <c r="F68" i="1"/>
  <c r="N62" i="1"/>
  <c r="M62" i="1"/>
  <c r="L62" i="1"/>
  <c r="K62" i="1"/>
  <c r="J62" i="1"/>
  <c r="I62" i="1"/>
  <c r="H62" i="1"/>
  <c r="G62" i="1"/>
  <c r="F62" i="1"/>
  <c r="M33" i="1"/>
  <c r="L33" i="1"/>
  <c r="L34" i="1" s="1"/>
  <c r="K33" i="1"/>
  <c r="K34" i="1" s="1"/>
  <c r="J33" i="1"/>
  <c r="J34" i="1" s="1"/>
  <c r="I33" i="1"/>
  <c r="I34" i="1" s="1"/>
  <c r="H33" i="1"/>
  <c r="H34" i="1" s="1"/>
  <c r="G33" i="1"/>
  <c r="G34" i="1" s="1"/>
  <c r="N33" i="1"/>
  <c r="N34" i="1" s="1"/>
  <c r="K16" i="1"/>
  <c r="J16" i="1"/>
  <c r="I16" i="1"/>
  <c r="H16" i="1"/>
  <c r="G16" i="1"/>
  <c r="L16" i="1"/>
  <c r="M17" i="1"/>
  <c r="M34" i="1" s="1"/>
  <c r="F79" i="1" l="1"/>
  <c r="F103" i="1" s="1"/>
  <c r="G79" i="1"/>
  <c r="G103" i="1" s="1"/>
  <c r="J79" i="1"/>
  <c r="J103" i="1" s="1"/>
  <c r="K79" i="1"/>
  <c r="K103" i="1" s="1"/>
  <c r="U17" i="1"/>
  <c r="H79" i="1"/>
  <c r="H103" i="1" s="1"/>
  <c r="L79" i="1"/>
  <c r="L103" i="1" s="1"/>
  <c r="I79" i="1"/>
  <c r="I103" i="1" s="1"/>
  <c r="M79" i="1"/>
  <c r="M103" i="1" s="1"/>
  <c r="U62" i="1"/>
  <c r="N79" i="1"/>
  <c r="N103" i="1" s="1"/>
  <c r="N104" i="1" s="1"/>
  <c r="U16" i="1"/>
  <c r="U68" i="1"/>
  <c r="U73" i="1"/>
  <c r="U33" i="1"/>
  <c r="U95" i="1"/>
  <c r="U53" i="1"/>
  <c r="U34" i="1" l="1"/>
  <c r="G104" i="1"/>
  <c r="J104" i="1"/>
  <c r="I104" i="1"/>
  <c r="K104" i="1"/>
  <c r="M104" i="1"/>
  <c r="U102" i="1"/>
  <c r="L104" i="1"/>
  <c r="U79" i="1"/>
  <c r="H104" i="1"/>
  <c r="U103" i="1" l="1"/>
  <c r="U104" i="1" s="1"/>
  <c r="V104" i="1" s="1"/>
  <c r="F104" i="1"/>
</calcChain>
</file>

<file path=xl/sharedStrings.xml><?xml version="1.0" encoding="utf-8"?>
<sst xmlns="http://schemas.openxmlformats.org/spreadsheetml/2006/main" count="199" uniqueCount="176">
  <si>
    <t>Ordinary Income/Expense</t>
  </si>
  <si>
    <t>Income</t>
  </si>
  <si>
    <t>4-1310 · Casinos</t>
  </si>
  <si>
    <t>4-1311 · Casino Income</t>
  </si>
  <si>
    <t>4-1312 · Casino Expense</t>
  </si>
  <si>
    <t>4-1313 · Member Casino Income Sharing</t>
  </si>
  <si>
    <t>4-1315 · Cage Advisor</t>
  </si>
  <si>
    <t>4-1316 · Count Room Advisor</t>
  </si>
  <si>
    <t>Total 4-1312 · Casino Expense</t>
  </si>
  <si>
    <t>Total 4-1310 · Casinos</t>
  </si>
  <si>
    <t>4-4045 · Founder's Travel Fund Levy</t>
  </si>
  <si>
    <t>4-4050 · Franchise Fees</t>
  </si>
  <si>
    <t>4-5003 · Fines</t>
  </si>
  <si>
    <t>4-7000 · Super Coaching Clinic</t>
  </si>
  <si>
    <t>4-9005 · Interest Earned</t>
  </si>
  <si>
    <t>4-9007 · Bank Account Interest Earned</t>
  </si>
  <si>
    <t>4-9009 · Bond Interest Earned</t>
  </si>
  <si>
    <t>Total 4-9005 · Interest Earned</t>
  </si>
  <si>
    <t>Total Income</t>
  </si>
  <si>
    <t>Expense</t>
  </si>
  <si>
    <t>6-0010 · ADMINISTRATION EXPENSES</t>
  </si>
  <si>
    <t>6-1050 · Accounting &amp; Audit</t>
  </si>
  <si>
    <t>6-1150 · Bank Service Charges</t>
  </si>
  <si>
    <t>6-1151 · RBC Credit Card Interest</t>
  </si>
  <si>
    <t>6-1152 · Annual Credit Card Fee</t>
  </si>
  <si>
    <t>6-1770 · Internet &amp; Website</t>
  </si>
  <si>
    <t>6-1773 · Website Administration</t>
  </si>
  <si>
    <t>6-1776 · Website Maintenance</t>
  </si>
  <si>
    <t>6-1785 · Website Scheduling Tool</t>
  </si>
  <si>
    <t>6-1788 · Website System Fee</t>
  </si>
  <si>
    <t>6-1791 · Website Team Management</t>
  </si>
  <si>
    <t>Total 6-1770 · Internet &amp; Website</t>
  </si>
  <si>
    <t>6-1850 · Meals &amp; Refreshments</t>
  </si>
  <si>
    <t>6-1855 · Thank You Gifts</t>
  </si>
  <si>
    <t>6-1875 · Meeting Space Rental</t>
  </si>
  <si>
    <t>6-2375 · Office</t>
  </si>
  <si>
    <t>6-2377 · Name Tags</t>
  </si>
  <si>
    <t>6-2379 · Office Supplies</t>
  </si>
  <si>
    <t>Total 6-2375 · Office</t>
  </si>
  <si>
    <t>6-2525 · Postage &amp; Delivery</t>
  </si>
  <si>
    <t>6-2530 · Printed Material</t>
  </si>
  <si>
    <t>6-2775 · Telephone Services</t>
  </si>
  <si>
    <t>6-2815 · Teleconferencing</t>
  </si>
  <si>
    <t>Total 6-2775 · Telephone Services</t>
  </si>
  <si>
    <t>6-2850 · Travel &amp; Conferences</t>
  </si>
  <si>
    <t>6-2851 · Accomodation</t>
  </si>
  <si>
    <t>6-2853 · Meals &amp; Refreshments</t>
  </si>
  <si>
    <t>6-2855 · Transportation</t>
  </si>
  <si>
    <t>Total 6-2850 · Travel &amp; Conferences</t>
  </si>
  <si>
    <t>6-2860 · Equipment</t>
  </si>
  <si>
    <t>6-3005 · Scheduling</t>
  </si>
  <si>
    <t>6-3010 · Stats Entry</t>
  </si>
  <si>
    <t>Total 6-0010 · ADMINISTRATION EXPENSES</t>
  </si>
  <si>
    <t>6-5000 · PROGRAMING</t>
  </si>
  <si>
    <t>6-5085 · Facility Rental</t>
  </si>
  <si>
    <t>6-7010 · Game Sheets</t>
  </si>
  <si>
    <t>6-7980 · Trophies/Awards</t>
  </si>
  <si>
    <t>6-8500 · Referee - RMLL</t>
  </si>
  <si>
    <t>6-8520 · Referee Airline Ticket</t>
  </si>
  <si>
    <t>Total 6-8500 · Referee - RMLL</t>
  </si>
  <si>
    <t>Total 6-5000 · PROGRAMING</t>
  </si>
  <si>
    <t>Total Expense</t>
  </si>
  <si>
    <t>Net Ordinary Income</t>
  </si>
  <si>
    <t>A.G.M.</t>
  </si>
  <si>
    <t>Division</t>
  </si>
  <si>
    <t>Casino</t>
  </si>
  <si>
    <t>Combines</t>
  </si>
  <si>
    <t>4-4049 - Combine Fees</t>
  </si>
  <si>
    <t>6-8553 - Trainer</t>
  </si>
  <si>
    <t>6-8554 - Trainer Supplies</t>
  </si>
  <si>
    <t>6-8555 - Referee Game Fees</t>
  </si>
  <si>
    <t>6-8556 - Promotional Items</t>
  </si>
  <si>
    <t>6-8700 - Honourarium</t>
  </si>
  <si>
    <t>6-8551 - CC Fees</t>
  </si>
  <si>
    <t>6-3020 - Coaching Manuals</t>
  </si>
  <si>
    <t>6-1880 - Guest/Facilitator</t>
  </si>
  <si>
    <t>Actual</t>
  </si>
  <si>
    <t>Clinics</t>
  </si>
  <si>
    <t>Coaching</t>
  </si>
  <si>
    <t>4-5500 - Facility Fees</t>
  </si>
  <si>
    <t>Budget</t>
  </si>
  <si>
    <t>4-2010 - Bonds Forfeited</t>
  </si>
  <si>
    <t>6-7012 - Rule Books</t>
  </si>
  <si>
    <t>6-9115 - Sr. B Travel Levy Disbursed</t>
  </si>
  <si>
    <t>6-1885 - Extraordinary Expenses</t>
  </si>
  <si>
    <t>6-8503 - Referee Accommadation</t>
  </si>
  <si>
    <t>6-8517 - Referee Per Diem</t>
  </si>
  <si>
    <t>new code - Minto</t>
  </si>
  <si>
    <t>6-2527 - Office Security</t>
  </si>
  <si>
    <t>Admin</t>
  </si>
  <si>
    <t>Execut</t>
  </si>
  <si>
    <t>Disci</t>
  </si>
  <si>
    <t>Promo &amp;</t>
  </si>
  <si>
    <t>Devel</t>
  </si>
  <si>
    <t>4-9005 - Interest Earned - Other</t>
  </si>
  <si>
    <t>Total</t>
  </si>
  <si>
    <t>6-1784 - Game Scoring</t>
  </si>
  <si>
    <t>6-1793 - Website Enhancements</t>
  </si>
  <si>
    <t>6-9500 - RAMP Administration</t>
  </si>
  <si>
    <t>6-8505 - Referee Assigning Fee</t>
  </si>
  <si>
    <t>6-8518 - Referee Airport Parking</t>
  </si>
  <si>
    <t>6-8514 - Referee Mileage Paid Out</t>
  </si>
  <si>
    <t>4-1318 - Pool Trustee</t>
  </si>
  <si>
    <t>6-1303 - Fines-League</t>
  </si>
  <si>
    <t>4-1006- Appeal Fees</t>
  </si>
  <si>
    <t>2019 Actual Total Expense</t>
  </si>
  <si>
    <t>2019 Actual Total Net Income</t>
  </si>
  <si>
    <t>6-1100 - Bad Debt Expense</t>
  </si>
  <si>
    <t>6-1670 - Insurance &amp; Bonds - Liability</t>
  </si>
  <si>
    <t>6-1780 - Website Publisher</t>
  </si>
  <si>
    <t>Combine Income</t>
  </si>
  <si>
    <t>Franchise Fee Income</t>
  </si>
  <si>
    <t>Promo &amp; Dev</t>
  </si>
  <si>
    <t>Combine Expenses</t>
  </si>
  <si>
    <t>6-8530 · Referee RIC Fee</t>
  </si>
  <si>
    <t>2020 Actual Total Expense</t>
  </si>
  <si>
    <t>2020 Actual Total Net Income</t>
  </si>
  <si>
    <t>4-6000 - Grants</t>
  </si>
  <si>
    <t>4-6003 - Grants Received</t>
  </si>
  <si>
    <t>Total 4-6000 - Grants</t>
  </si>
  <si>
    <t>FF $800</t>
  </si>
  <si>
    <t>Teleconferencing</t>
  </si>
  <si>
    <t>Casino Income</t>
  </si>
  <si>
    <t>Super Clinic Income</t>
  </si>
  <si>
    <t>Super Clinic Expenses</t>
  </si>
  <si>
    <t>Executive Expenses - 110</t>
  </si>
  <si>
    <t>Include #s on the back of pinnies and balls</t>
  </si>
  <si>
    <t>2021 Actual Total Expense</t>
  </si>
  <si>
    <t>2021 Actual Total Net Income</t>
  </si>
  <si>
    <t>RMLL 2023 Budget</t>
  </si>
  <si>
    <t>Sept. 30</t>
  </si>
  <si>
    <t>2023 Budget Assumptions</t>
  </si>
  <si>
    <t>North - 25 at $30 (2022 actual 27 at $30)</t>
  </si>
  <si>
    <t>Comp Intro 30 @ $200 and 10 @ $150 (2022 had 21 @ $200 and 9 @ $150)</t>
  </si>
  <si>
    <t>October Executive Planning Meeting for 2023</t>
  </si>
  <si>
    <t>Expense includes:</t>
  </si>
  <si>
    <t>using half the remaining funds from the 2019 RMLL Casino ($28K plus $20K from 2022 Casino)</t>
  </si>
  <si>
    <t>FF $0.00</t>
  </si>
  <si>
    <t>Reduced for 2023 as will use virtual platforms ($160 for Tier II Zoom)</t>
  </si>
  <si>
    <t>Includes Jr. A and Tier I in-person drafts</t>
  </si>
  <si>
    <t>2022 Actual Total Expense</t>
  </si>
  <si>
    <t>2022 Actual Total Net Income</t>
  </si>
  <si>
    <t>Includes $500 for Tier I podcasts</t>
  </si>
  <si>
    <t>Based on 30 coaches for clinic and 10 for further info</t>
  </si>
  <si>
    <t>ALA AGM</t>
  </si>
  <si>
    <t>$800 from 57 Franchises. Not forecasting an increase or decrease from 2022</t>
  </si>
  <si>
    <t>RMLL AGM</t>
  </si>
  <si>
    <t>Includes Fri. night Social</t>
  </si>
  <si>
    <t>Includes $1K for floor for Sr. C Glen 'Moose' Scot Invitational</t>
  </si>
  <si>
    <t>Jr. A In-person Draft</t>
  </si>
  <si>
    <t>Tier I - Two In-Person Drafts</t>
  </si>
  <si>
    <t>Sr. B One Travel Draft</t>
  </si>
  <si>
    <t>Sr. B Mid Season Travel (North or South)</t>
  </si>
  <si>
    <t>Sr. B 3 Travel Playoff Games</t>
  </si>
  <si>
    <t>Sr. C Crossover Weekend</t>
  </si>
  <si>
    <t>Sr. C Mid Season Travel</t>
  </si>
  <si>
    <t>Sr. C Playoffs</t>
  </si>
  <si>
    <t>Sr. C Glen ‘Moose’ Scott Invitational 2021</t>
  </si>
  <si>
    <t>Jr. A 4 travel playoff games</t>
  </si>
  <si>
    <t>Tier II Commissioner Attendance WC</t>
  </si>
  <si>
    <t>Class</t>
  </si>
  <si>
    <t>6-2851 · Accommodation</t>
  </si>
  <si>
    <t>South - 70 at $60 (2022 actual 68 at $30)</t>
  </si>
  <si>
    <t>Includes $1k for Female Free Agent Combine (20 at $30)</t>
  </si>
  <si>
    <t>Hotel Accommodations - 10 coaches for two nights</t>
  </si>
  <si>
    <t>Includes U17 GraduatingIn-person Info Sessions in Edmonton and Calgary</t>
  </si>
  <si>
    <t>4-4044 - Contingency Funds Received</t>
  </si>
  <si>
    <t>Includes $300 in 6-1670 for sanction for 3 combines</t>
  </si>
  <si>
    <t>1 RMLL Executive to ALA AGM</t>
  </si>
  <si>
    <t>Total Expense – 1 Executive is $384</t>
  </si>
  <si>
    <t>Hotel Accommodation at $140</t>
  </si>
  <si>
    <t xml:space="preserve">ALA Delegate Fee at $75 </t>
  </si>
  <si>
    <t xml:space="preserve">Meal Allowance is $60 </t>
  </si>
  <si>
    <t>Mileage at $0.53 km for 295 kms is $109</t>
  </si>
  <si>
    <t>deficit</t>
  </si>
  <si>
    <t>Jr. Ladies Combine (2 games)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</si>
</sst>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b/>
      <sz val="16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/>
    <xf numFmtId="43" fontId="2" fillId="0" borderId="1" xfId="1" applyFont="1" applyBorder="1"/>
    <xf numFmtId="43" fontId="2" fillId="0" borderId="2" xfId="1" applyFont="1" applyBorder="1"/>
    <xf numFmtId="0" fontId="2" fillId="0" borderId="0" xfId="0" applyFont="1" applyAlignment="1">
      <alignment horizontal="center"/>
    </xf>
    <xf numFmtId="43" fontId="0" fillId="0" borderId="0" xfId="1" applyFont="1" applyFill="1"/>
    <xf numFmtId="43" fontId="0" fillId="0" borderId="1" xfId="1" applyFont="1" applyFill="1" applyBorder="1"/>
    <xf numFmtId="43" fontId="0" fillId="0" borderId="0" xfId="1" applyFont="1" applyFill="1" applyBorder="1"/>
    <xf numFmtId="43" fontId="2" fillId="0" borderId="2" xfId="1" applyFont="1" applyFill="1" applyBorder="1"/>
    <xf numFmtId="43" fontId="0" fillId="0" borderId="0" xfId="0" applyNumberFormat="1"/>
    <xf numFmtId="43" fontId="3" fillId="0" borderId="0" xfId="1" applyFont="1"/>
    <xf numFmtId="0" fontId="4" fillId="2" borderId="0" xfId="0" applyFont="1" applyFill="1" applyAlignment="1">
      <alignment horizontal="center"/>
    </xf>
    <xf numFmtId="43" fontId="0" fillId="3" borderId="0" xfId="1" applyFont="1" applyFill="1" applyBorder="1"/>
    <xf numFmtId="43" fontId="0" fillId="3" borderId="0" xfId="1" applyFont="1" applyFill="1"/>
    <xf numFmtId="43" fontId="0" fillId="3" borderId="1" xfId="1" applyFont="1" applyFill="1" applyBorder="1"/>
    <xf numFmtId="0" fontId="0" fillId="3" borderId="0" xfId="0" applyFill="1"/>
    <xf numFmtId="43" fontId="0" fillId="0" borderId="0" xfId="1" applyFont="1" applyBorder="1"/>
    <xf numFmtId="0" fontId="0" fillId="3" borderId="1" xfId="0" applyFill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43" fontId="0" fillId="4" borderId="0" xfId="1" applyFont="1" applyFill="1"/>
    <xf numFmtId="43" fontId="2" fillId="0" borderId="0" xfId="1" applyFont="1" applyFill="1"/>
    <xf numFmtId="43" fontId="2" fillId="0" borderId="1" xfId="1" applyFont="1" applyFill="1" applyBorder="1"/>
    <xf numFmtId="49" fontId="5" fillId="3" borderId="1" xfId="0" applyNumberFormat="1" applyFont="1" applyFill="1" applyBorder="1"/>
    <xf numFmtId="0" fontId="7" fillId="0" borderId="0" xfId="0" applyFont="1"/>
    <xf numFmtId="0" fontId="8" fillId="0" borderId="0" xfId="0" applyFont="1"/>
    <xf numFmtId="44" fontId="8" fillId="0" borderId="0" xfId="2" applyFont="1"/>
    <xf numFmtId="44" fontId="0" fillId="0" borderId="0" xfId="0" applyNumberFormat="1"/>
    <xf numFmtId="0" fontId="9" fillId="0" borderId="0" xfId="0" applyFont="1"/>
    <xf numFmtId="0" fontId="0" fillId="0" borderId="3" xfId="0" applyBorder="1"/>
    <xf numFmtId="43" fontId="0" fillId="0" borderId="3" xfId="1" applyFont="1" applyBorder="1"/>
    <xf numFmtId="43" fontId="0" fillId="0" borderId="3" xfId="1" applyFont="1" applyFill="1" applyBorder="1"/>
    <xf numFmtId="0" fontId="4" fillId="0" borderId="0" xfId="0" applyFont="1"/>
    <xf numFmtId="0" fontId="3" fillId="0" borderId="0" xfId="0" applyFont="1"/>
    <xf numFmtId="43" fontId="2" fillId="2" borderId="0" xfId="1" applyFont="1" applyFill="1"/>
    <xf numFmtId="0" fontId="2" fillId="0" borderId="1" xfId="0" applyFont="1" applyBorder="1"/>
    <xf numFmtId="0" fontId="4" fillId="0" borderId="0" xfId="0" applyFont="1" applyAlignment="1">
      <alignment horizontal="center"/>
    </xf>
    <xf numFmtId="49" fontId="6" fillId="3" borderId="1" xfId="0" applyNumberFormat="1" applyFont="1" applyFill="1" applyBorder="1"/>
    <xf numFmtId="43" fontId="3" fillId="0" borderId="0" xfId="1" applyFont="1" applyFill="1" applyBorder="1"/>
    <xf numFmtId="0" fontId="0" fillId="0" borderId="0" xfId="0" applyAlignment="1">
      <alignment vertical="center"/>
    </xf>
    <xf numFmtId="0" fontId="3" fillId="2" borderId="0" xfId="0" applyFont="1" applyFill="1"/>
    <xf numFmtId="43" fontId="3" fillId="2" borderId="0" xfId="1" applyFont="1" applyFill="1"/>
    <xf numFmtId="43" fontId="3" fillId="2" borderId="1" xfId="1" applyFont="1" applyFill="1" applyBorder="1"/>
    <xf numFmtId="43" fontId="3" fillId="2" borderId="0" xfId="0" applyNumberFormat="1" applyFont="1" applyFill="1"/>
    <xf numFmtId="43" fontId="3" fillId="2" borderId="0" xfId="1" applyFont="1" applyFill="1" applyBorder="1"/>
    <xf numFmtId="43" fontId="3" fillId="2" borderId="1" xfId="0" applyNumberFormat="1" applyFont="1" applyFill="1" applyBorder="1"/>
    <xf numFmtId="43" fontId="3" fillId="2" borderId="3" xfId="0" applyNumberFormat="1" applyFont="1" applyFill="1" applyBorder="1"/>
    <xf numFmtId="43" fontId="4" fillId="2" borderId="0" xfId="0" applyNumberFormat="1" applyFont="1" applyFill="1"/>
    <xf numFmtId="43" fontId="4" fillId="2" borderId="1" xfId="0" applyNumberFormat="1" applyFont="1" applyFill="1" applyBorder="1"/>
    <xf numFmtId="43" fontId="4" fillId="2" borderId="2" xfId="1" applyFont="1" applyFill="1" applyBorder="1"/>
    <xf numFmtId="0" fontId="0" fillId="5" borderId="0" xfId="0" applyFill="1"/>
    <xf numFmtId="0" fontId="10" fillId="5" borderId="0" xfId="0" applyFont="1" applyFill="1"/>
    <xf numFmtId="44" fontId="0" fillId="0" borderId="0" xfId="2" applyFont="1"/>
    <xf numFmtId="44" fontId="0" fillId="5" borderId="0" xfId="2" applyFont="1" applyFill="1"/>
    <xf numFmtId="43" fontId="3" fillId="0" borderId="0" xfId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33CCFF"/>
      <color rgb="FFCC99FF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58"/>
  <sheetViews>
    <sheetView tabSelected="1" workbookViewId="0"/>
  </sheetViews>
  <sheetFormatPr defaultRowHeight="14.25" x14ac:dyDescent="0.45"/>
  <cols>
    <col min="1" max="2" width="1.86328125" customWidth="1"/>
    <col min="3" max="3" width="2" customWidth="1"/>
    <col min="4" max="4" width="1.73046875" customWidth="1"/>
    <col min="5" max="5" width="36" customWidth="1"/>
    <col min="6" max="7" width="10.59765625" customWidth="1"/>
    <col min="8" max="10" width="10.3984375" customWidth="1"/>
    <col min="11" max="11" width="11.59765625" customWidth="1"/>
    <col min="12" max="13" width="10.265625" customWidth="1"/>
    <col min="14" max="14" width="1.59765625" customWidth="1"/>
    <col min="15" max="15" width="9.86328125" customWidth="1"/>
    <col min="16" max="16" width="11.59765625" customWidth="1"/>
    <col min="17" max="18" width="10.86328125" customWidth="1"/>
    <col min="19" max="19" width="11.265625" customWidth="1"/>
    <col min="20" max="20" width="11.73046875" customWidth="1"/>
    <col min="21" max="21" width="11.59765625" customWidth="1"/>
    <col min="22" max="22" width="12.73046875" customWidth="1"/>
    <col min="23" max="23" width="10.59765625" bestFit="1" customWidth="1"/>
    <col min="24" max="24" width="11.59765625" bestFit="1" customWidth="1"/>
    <col min="25" max="25" width="10.59765625" bestFit="1" customWidth="1"/>
  </cols>
  <sheetData>
    <row r="1" spans="1:23" x14ac:dyDescent="0.45">
      <c r="A1" s="1" t="s">
        <v>129</v>
      </c>
    </row>
    <row r="2" spans="1:23" ht="21" x14ac:dyDescent="0.65">
      <c r="A2" s="27"/>
      <c r="B2" s="27"/>
      <c r="C2" s="27"/>
      <c r="D2" s="27"/>
      <c r="E2" s="27"/>
      <c r="F2" s="6">
        <v>100</v>
      </c>
      <c r="G2" s="6">
        <v>110</v>
      </c>
      <c r="H2" s="6">
        <v>120</v>
      </c>
      <c r="I2" s="6">
        <v>130</v>
      </c>
      <c r="J2" s="6">
        <v>200</v>
      </c>
      <c r="K2" s="6">
        <v>300</v>
      </c>
      <c r="L2" s="6">
        <v>500</v>
      </c>
      <c r="M2" s="6">
        <v>600</v>
      </c>
      <c r="N2" s="6"/>
      <c r="O2" s="6">
        <v>800</v>
      </c>
      <c r="P2" s="6">
        <v>2019</v>
      </c>
      <c r="Q2" s="6">
        <v>2020</v>
      </c>
      <c r="R2" s="6">
        <v>2021</v>
      </c>
      <c r="S2" s="39" t="s">
        <v>95</v>
      </c>
      <c r="T2" s="6">
        <v>2022</v>
      </c>
      <c r="U2" s="13" t="s">
        <v>95</v>
      </c>
    </row>
    <row r="3" spans="1:23" x14ac:dyDescent="0.45">
      <c r="F3" s="6" t="s">
        <v>89</v>
      </c>
      <c r="G3" s="6" t="s">
        <v>90</v>
      </c>
      <c r="H3" s="6" t="s">
        <v>63</v>
      </c>
      <c r="I3" s="6" t="s">
        <v>91</v>
      </c>
      <c r="J3" s="6" t="s">
        <v>92</v>
      </c>
      <c r="K3" s="6" t="s">
        <v>78</v>
      </c>
      <c r="L3" s="6" t="s">
        <v>64</v>
      </c>
      <c r="M3" s="6" t="s">
        <v>65</v>
      </c>
      <c r="N3" s="6"/>
      <c r="O3" s="6" t="s">
        <v>66</v>
      </c>
      <c r="P3" s="6" t="s">
        <v>76</v>
      </c>
      <c r="Q3" s="6" t="s">
        <v>76</v>
      </c>
      <c r="R3" s="6" t="s">
        <v>76</v>
      </c>
      <c r="S3" s="39">
        <v>2022</v>
      </c>
      <c r="T3" s="6" t="s">
        <v>76</v>
      </c>
      <c r="U3" s="13">
        <v>2023</v>
      </c>
    </row>
    <row r="4" spans="1:23" x14ac:dyDescent="0.45">
      <c r="F4" s="6"/>
      <c r="G4" s="6"/>
      <c r="H4" s="6"/>
      <c r="I4" s="6"/>
      <c r="J4" s="6" t="s">
        <v>93</v>
      </c>
      <c r="K4" s="6" t="s">
        <v>77</v>
      </c>
      <c r="L4" s="6"/>
      <c r="M4" s="6"/>
      <c r="N4" s="6"/>
      <c r="O4" s="6"/>
      <c r="P4" s="6"/>
      <c r="Q4" s="6"/>
      <c r="R4" s="6"/>
      <c r="S4" s="39" t="s">
        <v>80</v>
      </c>
      <c r="T4" s="6" t="s">
        <v>130</v>
      </c>
      <c r="U4" s="13" t="s">
        <v>80</v>
      </c>
    </row>
    <row r="5" spans="1:23" x14ac:dyDescent="0.45">
      <c r="F5" s="6"/>
      <c r="G5" s="6"/>
      <c r="H5" s="6"/>
      <c r="I5" s="6"/>
      <c r="L5" s="6"/>
      <c r="M5" s="6"/>
      <c r="N5" s="6"/>
      <c r="O5" s="6"/>
      <c r="P5" s="39" t="s">
        <v>120</v>
      </c>
      <c r="Q5" s="39" t="s">
        <v>120</v>
      </c>
      <c r="R5" s="39" t="s">
        <v>137</v>
      </c>
      <c r="S5" s="39" t="s">
        <v>120</v>
      </c>
      <c r="T5" s="39" t="s">
        <v>120</v>
      </c>
      <c r="U5" s="13" t="s">
        <v>120</v>
      </c>
    </row>
    <row r="6" spans="1:23" x14ac:dyDescent="0.45">
      <c r="A6" t="s">
        <v>0</v>
      </c>
      <c r="U6" s="43"/>
    </row>
    <row r="7" spans="1:23" x14ac:dyDescent="0.45">
      <c r="B7" t="s">
        <v>1</v>
      </c>
      <c r="U7" s="43"/>
    </row>
    <row r="8" spans="1:23" x14ac:dyDescent="0.45">
      <c r="C8" t="s">
        <v>104</v>
      </c>
      <c r="U8" s="43"/>
    </row>
    <row r="9" spans="1:23" x14ac:dyDescent="0.45">
      <c r="C9" t="s">
        <v>2</v>
      </c>
      <c r="U9" s="43"/>
    </row>
    <row r="10" spans="1:23" x14ac:dyDescent="0.45">
      <c r="D10" t="s">
        <v>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f>SUM(56585.44/2)+20000</f>
        <v>48292.72</v>
      </c>
      <c r="N10" s="2">
        <v>0</v>
      </c>
      <c r="O10" s="2"/>
      <c r="P10" s="7">
        <v>36130.42</v>
      </c>
      <c r="Q10" s="7">
        <v>0</v>
      </c>
      <c r="R10" s="7">
        <v>14891.31</v>
      </c>
      <c r="S10" s="7">
        <v>28292.720000000001</v>
      </c>
      <c r="T10" s="7">
        <v>30643.67</v>
      </c>
      <c r="U10" s="44">
        <f>SUM(F10:O10)</f>
        <v>48292.72</v>
      </c>
      <c r="W10" s="11"/>
    </row>
    <row r="11" spans="1:23" x14ac:dyDescent="0.45">
      <c r="D11" t="s">
        <v>4</v>
      </c>
      <c r="F11" s="2"/>
      <c r="G11" s="2"/>
      <c r="H11" s="7"/>
      <c r="I11" s="2"/>
      <c r="J11" s="2"/>
      <c r="K11" s="2"/>
      <c r="L11" s="2"/>
      <c r="M11" s="7"/>
      <c r="N11" s="2"/>
      <c r="O11" s="2"/>
      <c r="P11" s="7"/>
      <c r="Q11" s="7"/>
      <c r="R11" s="7"/>
      <c r="S11" s="7"/>
      <c r="T11" s="7"/>
      <c r="U11" s="43"/>
    </row>
    <row r="12" spans="1:23" x14ac:dyDescent="0.45">
      <c r="A12" s="17"/>
      <c r="B12" s="17"/>
      <c r="C12" s="17"/>
      <c r="D12" s="17"/>
      <c r="E12" s="17" t="s">
        <v>5</v>
      </c>
      <c r="F12" s="15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/>
      <c r="N12" s="15">
        <v>0</v>
      </c>
      <c r="O12" s="15"/>
      <c r="P12" s="15">
        <v>-7021.97</v>
      </c>
      <c r="Q12" s="15"/>
      <c r="R12" s="15"/>
      <c r="S12" s="15">
        <v>-8000</v>
      </c>
      <c r="T12" s="15">
        <v>-6217.63</v>
      </c>
      <c r="U12" s="44">
        <f t="shared" ref="U12:U18" si="0">SUM(F12:O12)</f>
        <v>0</v>
      </c>
    </row>
    <row r="13" spans="1:23" x14ac:dyDescent="0.45">
      <c r="A13" s="17"/>
      <c r="B13" s="17"/>
      <c r="C13" s="17"/>
      <c r="D13" s="17"/>
      <c r="E13" s="17" t="s">
        <v>6</v>
      </c>
      <c r="F13" s="15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/>
      <c r="N13" s="15">
        <v>0</v>
      </c>
      <c r="O13" s="15"/>
      <c r="P13" s="15">
        <v>-505.75</v>
      </c>
      <c r="Q13" s="15"/>
      <c r="R13" s="15"/>
      <c r="S13" s="15">
        <v>-550</v>
      </c>
      <c r="T13" s="15">
        <v>-1656.9</v>
      </c>
      <c r="U13" s="44">
        <f t="shared" si="0"/>
        <v>0</v>
      </c>
    </row>
    <row r="14" spans="1:23" x14ac:dyDescent="0.45">
      <c r="A14" s="17"/>
      <c r="B14" s="17"/>
      <c r="C14" s="17"/>
      <c r="D14" s="17"/>
      <c r="E14" s="17" t="s">
        <v>7</v>
      </c>
      <c r="F14" s="14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/>
      <c r="N14" s="14">
        <v>0</v>
      </c>
      <c r="O14" s="14"/>
      <c r="P14" s="14">
        <v>-1151.1500000000001</v>
      </c>
      <c r="Q14" s="14"/>
      <c r="R14" s="14"/>
      <c r="S14" s="14">
        <v>-1200</v>
      </c>
      <c r="T14" s="14">
        <v>-694.05</v>
      </c>
      <c r="U14" s="44">
        <f t="shared" si="0"/>
        <v>0</v>
      </c>
    </row>
    <row r="15" spans="1:23" x14ac:dyDescent="0.45">
      <c r="A15" s="19"/>
      <c r="B15" s="19"/>
      <c r="C15" s="19"/>
      <c r="D15" s="19"/>
      <c r="E15" s="19" t="s">
        <v>102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>
        <v>-694.05</v>
      </c>
      <c r="Q15" s="16"/>
      <c r="R15" s="16"/>
      <c r="S15" s="16">
        <v>-700</v>
      </c>
      <c r="T15" s="16"/>
      <c r="U15" s="45">
        <f t="shared" si="0"/>
        <v>0</v>
      </c>
    </row>
    <row r="16" spans="1:23" x14ac:dyDescent="0.45">
      <c r="D16" t="s">
        <v>8</v>
      </c>
      <c r="F16" s="2">
        <f>SUM(F12:F15)</f>
        <v>0</v>
      </c>
      <c r="G16" s="2">
        <f t="shared" ref="G16:L16" si="1">SUM(G12:G14)</f>
        <v>0</v>
      </c>
      <c r="H16" s="7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7">
        <f>SUM(M12:M15)</f>
        <v>0</v>
      </c>
      <c r="N16" s="2">
        <v>0</v>
      </c>
      <c r="O16" s="2"/>
      <c r="P16" s="7">
        <v>-9372.92</v>
      </c>
      <c r="Q16" s="7">
        <v>0</v>
      </c>
      <c r="R16" s="7">
        <v>14891.31</v>
      </c>
      <c r="S16" s="7">
        <v>-10450</v>
      </c>
      <c r="T16" s="7">
        <v>-8568.58</v>
      </c>
      <c r="U16" s="46">
        <f t="shared" si="0"/>
        <v>0</v>
      </c>
    </row>
    <row r="17" spans="1:21" x14ac:dyDescent="0.45">
      <c r="C17" t="s">
        <v>9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f>SUM(M10+M16)</f>
        <v>48292.72</v>
      </c>
      <c r="N17" s="7">
        <v>0</v>
      </c>
      <c r="O17" s="7"/>
      <c r="P17" s="7">
        <v>26757.5</v>
      </c>
      <c r="Q17" s="7">
        <v>0</v>
      </c>
      <c r="R17" s="7"/>
      <c r="S17" s="7">
        <v>17842</v>
      </c>
      <c r="T17" s="7">
        <v>22075.09</v>
      </c>
      <c r="U17" s="46">
        <f t="shared" si="0"/>
        <v>48292.72</v>
      </c>
    </row>
    <row r="18" spans="1:21" x14ac:dyDescent="0.45">
      <c r="C18" t="s">
        <v>166</v>
      </c>
      <c r="F18" s="7">
        <f>SUM(57*200)</f>
        <v>11400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11600</v>
      </c>
      <c r="U18" s="46">
        <f t="shared" si="0"/>
        <v>11400</v>
      </c>
    </row>
    <row r="19" spans="1:21" x14ac:dyDescent="0.45">
      <c r="C19" t="s">
        <v>81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3000</v>
      </c>
      <c r="Q19" s="7">
        <v>0</v>
      </c>
      <c r="R19" s="7"/>
      <c r="S19" s="7"/>
      <c r="T19" s="7"/>
      <c r="U19" s="43"/>
    </row>
    <row r="20" spans="1:21" x14ac:dyDescent="0.45">
      <c r="C20" t="s">
        <v>10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/>
      <c r="O20" s="7"/>
      <c r="P20" s="7">
        <v>3000</v>
      </c>
      <c r="Q20" s="7">
        <v>0</v>
      </c>
      <c r="R20" s="7"/>
      <c r="S20" s="7"/>
      <c r="T20" s="7"/>
      <c r="U20" s="47">
        <f>SUM(F20+G20+H20+I20+J20+K20+L20+M20+N20+O20)</f>
        <v>0</v>
      </c>
    </row>
    <row r="21" spans="1:21" x14ac:dyDescent="0.45">
      <c r="C21" t="s">
        <v>67</v>
      </c>
      <c r="F21" s="7"/>
      <c r="G21" s="7"/>
      <c r="H21" s="7"/>
      <c r="I21" s="7"/>
      <c r="J21" s="7"/>
      <c r="K21" s="7"/>
      <c r="L21" s="7"/>
      <c r="M21" s="7"/>
      <c r="N21" s="7"/>
      <c r="O21" s="7">
        <f>SUM(25*30)+(70*60)+(20*30)</f>
        <v>5550</v>
      </c>
      <c r="P21" s="7">
        <v>5370</v>
      </c>
      <c r="Q21" s="7">
        <v>6260</v>
      </c>
      <c r="R21" s="7"/>
      <c r="S21" s="7">
        <v>3300</v>
      </c>
      <c r="T21" s="7">
        <v>2910</v>
      </c>
      <c r="U21" s="46">
        <f>SUM(F21:O21)</f>
        <v>5550</v>
      </c>
    </row>
    <row r="22" spans="1:21" x14ac:dyDescent="0.45">
      <c r="C22" t="s">
        <v>11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f>SUM(57*800)</f>
        <v>45600</v>
      </c>
      <c r="M22" s="7">
        <v>0</v>
      </c>
      <c r="N22" s="7">
        <v>0</v>
      </c>
      <c r="O22" s="7"/>
      <c r="P22" s="7">
        <v>53600</v>
      </c>
      <c r="Q22" s="7">
        <v>40700</v>
      </c>
      <c r="R22" s="7"/>
      <c r="S22" s="7">
        <v>57700</v>
      </c>
      <c r="T22" s="7">
        <v>57700</v>
      </c>
      <c r="U22" s="46">
        <f>SUM(F22:O22)</f>
        <v>45600</v>
      </c>
    </row>
    <row r="23" spans="1:21" x14ac:dyDescent="0.45">
      <c r="C23" t="s">
        <v>12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/>
      <c r="P23" s="7">
        <v>8850</v>
      </c>
      <c r="Q23" s="7">
        <v>0</v>
      </c>
      <c r="R23" s="7">
        <v>1950</v>
      </c>
      <c r="S23" s="7"/>
      <c r="T23" s="7">
        <v>2550</v>
      </c>
      <c r="U23" s="43"/>
    </row>
    <row r="24" spans="1:21" x14ac:dyDescent="0.45">
      <c r="C24" t="s">
        <v>79</v>
      </c>
      <c r="F24" s="7"/>
      <c r="G24" s="7"/>
      <c r="H24" s="7"/>
      <c r="I24" s="7"/>
      <c r="J24" s="7"/>
      <c r="K24" s="7"/>
      <c r="L24" s="7">
        <v>45000</v>
      </c>
      <c r="M24" s="7"/>
      <c r="N24" s="7"/>
      <c r="O24" s="7"/>
      <c r="P24" s="7">
        <v>46313.120000000003</v>
      </c>
      <c r="Q24" s="7">
        <v>0</v>
      </c>
      <c r="R24" s="7">
        <v>15395.99</v>
      </c>
      <c r="S24" s="7">
        <v>45000</v>
      </c>
      <c r="T24" s="7">
        <v>45094.239999999998</v>
      </c>
      <c r="U24" s="46">
        <f>SUM(F24:O24)</f>
        <v>45000</v>
      </c>
    </row>
    <row r="25" spans="1:21" x14ac:dyDescent="0.45">
      <c r="A25" s="20"/>
      <c r="B25" s="20"/>
      <c r="C25" s="20" t="s">
        <v>117</v>
      </c>
      <c r="D25" s="20"/>
      <c r="E25" s="20"/>
      <c r="F25" s="8"/>
      <c r="G25" s="8"/>
      <c r="H25" s="8"/>
      <c r="I25" s="8"/>
      <c r="J25" s="8"/>
      <c r="K25" s="8"/>
      <c r="L25" s="8"/>
      <c r="M25" s="8"/>
      <c r="N25" s="7"/>
      <c r="O25" s="8"/>
      <c r="P25" s="8"/>
      <c r="Q25" s="8"/>
      <c r="R25" s="8"/>
      <c r="S25" s="8"/>
      <c r="T25" s="8"/>
      <c r="U25" s="48"/>
    </row>
    <row r="26" spans="1:21" x14ac:dyDescent="0.45">
      <c r="A26" s="20"/>
      <c r="B26" s="20"/>
      <c r="C26" s="19"/>
      <c r="D26" s="19" t="s">
        <v>118</v>
      </c>
      <c r="E26" s="19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v>7250</v>
      </c>
      <c r="S26" s="16"/>
      <c r="T26" s="16"/>
      <c r="U26" s="48">
        <f>SUM(F26:O26)</f>
        <v>0</v>
      </c>
    </row>
    <row r="27" spans="1:21" x14ac:dyDescent="0.45">
      <c r="C27" t="s">
        <v>119</v>
      </c>
      <c r="F27" s="7">
        <f t="shared" ref="F27:M27" si="2">SUM(F26)</f>
        <v>0</v>
      </c>
      <c r="G27" s="7">
        <f t="shared" si="2"/>
        <v>0</v>
      </c>
      <c r="H27" s="7">
        <f t="shared" si="2"/>
        <v>0</v>
      </c>
      <c r="I27" s="7">
        <f t="shared" si="2"/>
        <v>0</v>
      </c>
      <c r="J27" s="7">
        <f t="shared" si="2"/>
        <v>0</v>
      </c>
      <c r="K27" s="7">
        <f t="shared" si="2"/>
        <v>0</v>
      </c>
      <c r="L27" s="7">
        <f t="shared" si="2"/>
        <v>0</v>
      </c>
      <c r="M27" s="7">
        <f t="shared" si="2"/>
        <v>0</v>
      </c>
      <c r="N27" s="7"/>
      <c r="O27" s="7">
        <f>SUM(O26)</f>
        <v>0</v>
      </c>
      <c r="P27" s="7"/>
      <c r="Q27" s="7"/>
      <c r="R27" s="7">
        <v>7250</v>
      </c>
      <c r="S27" s="7"/>
      <c r="T27" s="7"/>
      <c r="U27" s="46">
        <f>SUM(F27:P27)</f>
        <v>0</v>
      </c>
    </row>
    <row r="28" spans="1:21" x14ac:dyDescent="0.45">
      <c r="C28" t="s">
        <v>13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>SUM(30*200)+(10*150)</f>
        <v>7500</v>
      </c>
      <c r="L28" s="7">
        <v>0</v>
      </c>
      <c r="M28" s="7">
        <v>0</v>
      </c>
      <c r="N28" s="7">
        <v>0</v>
      </c>
      <c r="O28" s="7"/>
      <c r="P28" s="7">
        <v>10350</v>
      </c>
      <c r="Q28" s="7">
        <v>0</v>
      </c>
      <c r="R28" s="7"/>
      <c r="S28" s="7">
        <v>7500</v>
      </c>
      <c r="T28" s="7">
        <v>5110</v>
      </c>
      <c r="U28" s="46">
        <f>SUM(F28:O28)</f>
        <v>7500</v>
      </c>
    </row>
    <row r="29" spans="1:21" x14ac:dyDescent="0.45">
      <c r="C29" t="s">
        <v>14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2"/>
      <c r="Q29" s="7"/>
      <c r="R29" s="7"/>
      <c r="S29" s="7"/>
      <c r="T29" s="7"/>
      <c r="U29" s="43"/>
    </row>
    <row r="30" spans="1:21" x14ac:dyDescent="0.45">
      <c r="A30" s="17"/>
      <c r="B30" s="17"/>
      <c r="C30" s="17"/>
      <c r="D30" s="17" t="s">
        <v>15</v>
      </c>
      <c r="E30" s="17"/>
      <c r="F30" s="15">
        <v>300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/>
      <c r="P30" s="15">
        <v>1972.98</v>
      </c>
      <c r="Q30" s="15">
        <v>395.38</v>
      </c>
      <c r="R30" s="15">
        <v>290.7</v>
      </c>
      <c r="S30" s="15">
        <v>300</v>
      </c>
      <c r="T30" s="15">
        <v>391.32</v>
      </c>
      <c r="U30" s="46">
        <f>SUM(F30:O30)</f>
        <v>300</v>
      </c>
    </row>
    <row r="31" spans="1:21" x14ac:dyDescent="0.45">
      <c r="A31" s="17"/>
      <c r="B31" s="17"/>
      <c r="C31" s="17"/>
      <c r="D31" s="17" t="s">
        <v>94</v>
      </c>
      <c r="E31" s="17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7"/>
      <c r="R31" s="17"/>
      <c r="S31" s="17"/>
      <c r="T31" s="17"/>
      <c r="U31" s="46">
        <f>SUM(F31:O31)</f>
        <v>0</v>
      </c>
    </row>
    <row r="32" spans="1:21" x14ac:dyDescent="0.45">
      <c r="A32" s="19"/>
      <c r="B32" s="19"/>
      <c r="C32" s="17"/>
      <c r="D32" s="17" t="s">
        <v>16</v>
      </c>
      <c r="E32" s="17"/>
      <c r="F32" s="15">
        <v>500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/>
      <c r="P32" s="14">
        <v>0</v>
      </c>
      <c r="Q32" s="15">
        <v>1474.75</v>
      </c>
      <c r="R32" s="15">
        <v>730</v>
      </c>
      <c r="S32" s="15">
        <v>1000</v>
      </c>
      <c r="T32" s="15">
        <v>469.87</v>
      </c>
      <c r="U32" s="46">
        <f>SUM(F32:O32)</f>
        <v>500</v>
      </c>
    </row>
    <row r="33" spans="2:21" x14ac:dyDescent="0.45">
      <c r="C33" s="32" t="s">
        <v>17</v>
      </c>
      <c r="D33" s="32"/>
      <c r="E33" s="32"/>
      <c r="F33" s="33">
        <f>SUM(F30:F32)</f>
        <v>800</v>
      </c>
      <c r="G33" s="33">
        <f t="shared" ref="G33:M33" si="3">SUM(G30:G32)</f>
        <v>0</v>
      </c>
      <c r="H33" s="34">
        <f t="shared" si="3"/>
        <v>0</v>
      </c>
      <c r="I33" s="33">
        <f t="shared" si="3"/>
        <v>0</v>
      </c>
      <c r="J33" s="33">
        <f t="shared" si="3"/>
        <v>0</v>
      </c>
      <c r="K33" s="33">
        <f t="shared" si="3"/>
        <v>0</v>
      </c>
      <c r="L33" s="33">
        <f t="shared" si="3"/>
        <v>0</v>
      </c>
      <c r="M33" s="33">
        <f t="shared" si="3"/>
        <v>0</v>
      </c>
      <c r="N33" s="33">
        <f>SUM(N30:N32)</f>
        <v>0</v>
      </c>
      <c r="O33" s="33"/>
      <c r="P33" s="34">
        <v>1972.98</v>
      </c>
      <c r="Q33" s="34">
        <v>1870.13</v>
      </c>
      <c r="R33" s="34">
        <v>1020.7</v>
      </c>
      <c r="S33" s="34">
        <v>1300</v>
      </c>
      <c r="T33" s="34">
        <v>861.19</v>
      </c>
      <c r="U33" s="49">
        <f>SUM(F33:O33)</f>
        <v>800</v>
      </c>
    </row>
    <row r="34" spans="2:21" x14ac:dyDescent="0.45">
      <c r="B34" s="1" t="s">
        <v>18</v>
      </c>
      <c r="F34" s="3">
        <f>SUM(F17+F18+F21+F22+F23+F24+F27+F28+F33)</f>
        <v>12200</v>
      </c>
      <c r="G34" s="3">
        <f t="shared" ref="G34:J34" si="4">SUM(G17+G20+G21+G22+G23+G24+G27+G28+G33)</f>
        <v>0</v>
      </c>
      <c r="H34" s="3">
        <f t="shared" si="4"/>
        <v>0</v>
      </c>
      <c r="I34" s="3">
        <f t="shared" si="4"/>
        <v>0</v>
      </c>
      <c r="J34" s="3">
        <f t="shared" si="4"/>
        <v>0</v>
      </c>
      <c r="K34" s="3">
        <f>SUM(K17+K18+K21+K22+K23+K24+K27+K28+K33)</f>
        <v>7500</v>
      </c>
      <c r="L34" s="3">
        <f>SUM(L17+L18+L21+L22+L23+L24+L27+L28+L33)</f>
        <v>90600</v>
      </c>
      <c r="M34" s="3">
        <f>SUM(M17+M18+M21+M22+M23+M24+M27+M28+M33)</f>
        <v>48292.72</v>
      </c>
      <c r="N34" s="3">
        <f>SUM(N17+N20+O37+N21+N22+N23+N24+N28+N29+N33)</f>
        <v>0</v>
      </c>
      <c r="O34" s="3">
        <f>SUM(O17+O18+O21+O22+O23+O24+O27+O28+O33)</f>
        <v>5550</v>
      </c>
      <c r="P34" s="24">
        <v>159213.6</v>
      </c>
      <c r="Q34" s="24">
        <v>48830.13</v>
      </c>
      <c r="R34" s="24">
        <v>40508</v>
      </c>
      <c r="S34" s="24">
        <v>132642.72</v>
      </c>
      <c r="T34" s="24">
        <v>147900.51999999999</v>
      </c>
      <c r="U34" s="37">
        <f>SUM(U17+U18+U19+U21+U22+U23+U24+U27+U28+U33)</f>
        <v>164142.72</v>
      </c>
    </row>
    <row r="35" spans="2:21" x14ac:dyDescent="0.45">
      <c r="B35" t="s">
        <v>19</v>
      </c>
      <c r="F35" s="2"/>
      <c r="G35" s="2"/>
      <c r="H35" s="7"/>
      <c r="I35" s="2"/>
      <c r="J35" s="2"/>
      <c r="K35" s="2"/>
      <c r="L35" s="2"/>
      <c r="M35" s="2"/>
      <c r="N35" s="2"/>
      <c r="O35" s="2"/>
      <c r="P35" s="2"/>
      <c r="Q35" s="7"/>
      <c r="R35" s="7"/>
      <c r="S35" s="7"/>
      <c r="T35" s="7"/>
      <c r="U35" s="43"/>
    </row>
    <row r="36" spans="2:21" x14ac:dyDescent="0.45">
      <c r="C36" t="s">
        <v>20</v>
      </c>
      <c r="F36" s="2"/>
      <c r="G36" s="2"/>
      <c r="H36" s="7"/>
      <c r="I36" s="2"/>
      <c r="J36" s="2"/>
      <c r="K36" s="2"/>
      <c r="L36" s="2"/>
      <c r="M36" s="2"/>
      <c r="N36" s="2"/>
      <c r="O36" s="2"/>
      <c r="P36" s="2"/>
      <c r="Q36" s="7"/>
      <c r="R36" s="7"/>
      <c r="S36" s="7"/>
      <c r="T36" s="7"/>
      <c r="U36" s="43"/>
    </row>
    <row r="37" spans="2:21" x14ac:dyDescent="0.45">
      <c r="D37" t="s">
        <v>21</v>
      </c>
      <c r="F37" s="7">
        <v>6600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2">
        <v>0</v>
      </c>
      <c r="N37" s="2">
        <v>0</v>
      </c>
      <c r="O37" s="2"/>
      <c r="P37" s="7">
        <v>5905.19</v>
      </c>
      <c r="Q37" s="7">
        <v>3893.49</v>
      </c>
      <c r="R37" s="7">
        <v>3771.61</v>
      </c>
      <c r="S37" s="7">
        <v>6800</v>
      </c>
      <c r="T37" s="7">
        <v>5972.45</v>
      </c>
      <c r="U37" s="46">
        <f>SUM(F37:O37)</f>
        <v>6600</v>
      </c>
    </row>
    <row r="38" spans="2:21" x14ac:dyDescent="0.45">
      <c r="D38" t="s">
        <v>107</v>
      </c>
      <c r="F38" s="7"/>
      <c r="G38" s="7"/>
      <c r="H38" s="7"/>
      <c r="I38" s="7"/>
      <c r="J38" s="7"/>
      <c r="K38" s="7"/>
      <c r="L38" s="7"/>
      <c r="M38" s="2"/>
      <c r="N38" s="2"/>
      <c r="O38" s="2"/>
      <c r="P38" s="7"/>
      <c r="Q38" s="7">
        <v>4064.37</v>
      </c>
      <c r="R38" s="7"/>
      <c r="S38" s="7"/>
      <c r="T38" s="7"/>
      <c r="U38" s="46"/>
    </row>
    <row r="39" spans="2:21" x14ac:dyDescent="0.45">
      <c r="D39" t="s">
        <v>22</v>
      </c>
      <c r="F39" s="7">
        <v>300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2">
        <v>0</v>
      </c>
      <c r="N39" s="2">
        <v>0</v>
      </c>
      <c r="O39" s="2"/>
      <c r="P39" s="7">
        <v>110.6</v>
      </c>
      <c r="Q39" s="7">
        <v>53.5</v>
      </c>
      <c r="R39" s="7">
        <v>140.69999999999999</v>
      </c>
      <c r="S39" s="7">
        <v>300</v>
      </c>
      <c r="T39" s="7">
        <v>279.81</v>
      </c>
      <c r="U39" s="46">
        <f>SUM(F39:O39)</f>
        <v>300</v>
      </c>
    </row>
    <row r="40" spans="2:21" x14ac:dyDescent="0.45">
      <c r="D40" t="s">
        <v>23</v>
      </c>
      <c r="F40" s="7">
        <v>100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2">
        <v>0</v>
      </c>
      <c r="N40" s="2">
        <v>0</v>
      </c>
      <c r="O40" s="2"/>
      <c r="P40" s="7">
        <v>184.6</v>
      </c>
      <c r="Q40" s="7">
        <v>21.4</v>
      </c>
      <c r="R40" s="7"/>
      <c r="S40" s="7">
        <v>100</v>
      </c>
      <c r="T40" s="7">
        <v>93.64</v>
      </c>
      <c r="U40" s="46">
        <f>SUM(F40:O40)</f>
        <v>100</v>
      </c>
    </row>
    <row r="41" spans="2:21" x14ac:dyDescent="0.45">
      <c r="D41" t="s">
        <v>24</v>
      </c>
      <c r="F41" s="7">
        <v>120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2">
        <v>0</v>
      </c>
      <c r="N41" s="2">
        <v>0</v>
      </c>
      <c r="O41" s="2"/>
      <c r="P41" s="7">
        <v>120</v>
      </c>
      <c r="Q41" s="7">
        <v>120</v>
      </c>
      <c r="R41" s="7"/>
      <c r="S41" s="7">
        <v>120</v>
      </c>
      <c r="T41" s="7">
        <v>120</v>
      </c>
      <c r="U41" s="46">
        <f>SUM(F41:O41)</f>
        <v>120</v>
      </c>
    </row>
    <row r="42" spans="2:21" x14ac:dyDescent="0.45">
      <c r="D42" t="s">
        <v>108</v>
      </c>
      <c r="G42" s="7">
        <f>SUM(24.25*14)</f>
        <v>339.5</v>
      </c>
      <c r="H42" s="7"/>
      <c r="I42" s="7"/>
      <c r="J42" s="7"/>
      <c r="K42" s="7"/>
      <c r="L42" s="7"/>
      <c r="M42" s="2"/>
      <c r="N42" s="2"/>
      <c r="O42" s="2">
        <v>300</v>
      </c>
      <c r="P42" s="7"/>
      <c r="Q42" s="7">
        <v>339.5</v>
      </c>
      <c r="R42" s="7">
        <v>339.5</v>
      </c>
      <c r="S42" s="7">
        <v>363.75</v>
      </c>
      <c r="T42" s="7">
        <v>-135</v>
      </c>
      <c r="U42" s="46">
        <f>SUM(G42:O42)</f>
        <v>639.5</v>
      </c>
    </row>
    <row r="43" spans="2:21" x14ac:dyDescent="0.45">
      <c r="D43" t="s">
        <v>103</v>
      </c>
      <c r="F43" s="7"/>
      <c r="G43" s="7"/>
      <c r="H43" s="7"/>
      <c r="I43" s="7"/>
      <c r="J43" s="7"/>
      <c r="K43" s="7"/>
      <c r="L43" s="7"/>
      <c r="M43" s="2"/>
      <c r="N43" s="2"/>
      <c r="O43" s="2"/>
      <c r="P43" s="7">
        <v>250</v>
      </c>
      <c r="Q43" s="7"/>
      <c r="R43" s="7"/>
      <c r="S43" s="7"/>
      <c r="T43" s="7"/>
      <c r="U43" s="46"/>
    </row>
    <row r="44" spans="2:21" x14ac:dyDescent="0.45">
      <c r="D44" t="s">
        <v>25</v>
      </c>
      <c r="F44" s="7"/>
      <c r="G44" s="7"/>
      <c r="H44" s="7"/>
      <c r="I44" s="7"/>
      <c r="J44" s="7"/>
      <c r="K44" s="7"/>
      <c r="L44" s="7"/>
      <c r="M44" s="2"/>
      <c r="N44" s="2"/>
      <c r="O44" s="2"/>
      <c r="P44" s="7"/>
      <c r="Q44" s="7"/>
      <c r="R44" s="7"/>
      <c r="S44" s="7"/>
      <c r="T44" s="7"/>
      <c r="U44" s="43"/>
    </row>
    <row r="45" spans="2:21" x14ac:dyDescent="0.45">
      <c r="E45" s="17" t="s">
        <v>26</v>
      </c>
      <c r="F45" s="15">
        <v>1500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/>
      <c r="M45" s="15">
        <v>0</v>
      </c>
      <c r="N45" s="15">
        <v>0</v>
      </c>
      <c r="O45" s="15"/>
      <c r="P45" s="15">
        <v>1300</v>
      </c>
      <c r="Q45" s="15">
        <v>500</v>
      </c>
      <c r="R45" s="15">
        <v>600</v>
      </c>
      <c r="S45" s="15">
        <v>1500</v>
      </c>
      <c r="T45" s="15">
        <v>1300</v>
      </c>
      <c r="U45" s="46">
        <f t="shared" ref="U45:U63" si="5">SUM(F45:O45)</f>
        <v>1500</v>
      </c>
    </row>
    <row r="46" spans="2:21" x14ac:dyDescent="0.45">
      <c r="E46" s="17" t="s">
        <v>27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200</v>
      </c>
      <c r="M46" s="15">
        <v>0</v>
      </c>
      <c r="N46" s="15">
        <v>0</v>
      </c>
      <c r="O46" s="15"/>
      <c r="P46" s="15">
        <v>525</v>
      </c>
      <c r="Q46" s="15">
        <v>525</v>
      </c>
      <c r="R46" s="15"/>
      <c r="S46" s="15">
        <v>525</v>
      </c>
      <c r="T46" s="15">
        <v>157.5</v>
      </c>
      <c r="U46" s="46">
        <f t="shared" si="5"/>
        <v>200</v>
      </c>
    </row>
    <row r="47" spans="2:21" x14ac:dyDescent="0.45">
      <c r="E47" s="17" t="s">
        <v>109</v>
      </c>
      <c r="F47" s="15"/>
      <c r="G47" s="15"/>
      <c r="H47" s="15"/>
      <c r="I47" s="15"/>
      <c r="J47" s="15"/>
      <c r="K47" s="15"/>
      <c r="L47" s="15">
        <v>200</v>
      </c>
      <c r="M47" s="15"/>
      <c r="N47" s="15"/>
      <c r="O47" s="15"/>
      <c r="P47" s="15"/>
      <c r="Q47" s="15">
        <v>156.44999999999999</v>
      </c>
      <c r="R47" s="15"/>
      <c r="S47" s="15">
        <v>160</v>
      </c>
      <c r="T47" s="15">
        <v>204.75</v>
      </c>
      <c r="U47" s="46">
        <f t="shared" si="5"/>
        <v>200</v>
      </c>
    </row>
    <row r="48" spans="2:21" x14ac:dyDescent="0.45">
      <c r="E48" s="17" t="s">
        <v>96</v>
      </c>
      <c r="F48" s="15"/>
      <c r="G48" s="15"/>
      <c r="H48" s="15"/>
      <c r="I48" s="15"/>
      <c r="J48" s="15"/>
      <c r="K48" s="15"/>
      <c r="L48" s="15">
        <v>475</v>
      </c>
      <c r="M48" s="15"/>
      <c r="N48" s="15"/>
      <c r="O48" s="15"/>
      <c r="P48" s="15">
        <v>328.13</v>
      </c>
      <c r="Q48" s="15">
        <v>0</v>
      </c>
      <c r="R48" s="15"/>
      <c r="S48" s="15">
        <v>450</v>
      </c>
      <c r="T48" s="15">
        <v>472.5</v>
      </c>
      <c r="U48" s="46">
        <f t="shared" si="5"/>
        <v>475</v>
      </c>
    </row>
    <row r="49" spans="1:24" x14ac:dyDescent="0.45">
      <c r="E49" s="17" t="s">
        <v>28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1800</v>
      </c>
      <c r="M49" s="15">
        <v>0</v>
      </c>
      <c r="N49" s="15">
        <v>0</v>
      </c>
      <c r="O49" s="15"/>
      <c r="P49" s="15">
        <v>1125.5999999999999</v>
      </c>
      <c r="Q49" s="15">
        <v>1108.8</v>
      </c>
      <c r="R49" s="15"/>
      <c r="S49" s="15">
        <v>1130</v>
      </c>
      <c r="T49" s="15">
        <v>1732.5</v>
      </c>
      <c r="U49" s="46">
        <f t="shared" si="5"/>
        <v>1800</v>
      </c>
    </row>
    <row r="50" spans="1:24" x14ac:dyDescent="0.45">
      <c r="E50" s="17" t="s">
        <v>29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>
        <v>0</v>
      </c>
      <c r="N50" s="15">
        <v>0</v>
      </c>
      <c r="O50" s="15"/>
      <c r="P50" s="15">
        <v>0</v>
      </c>
      <c r="Q50" s="15">
        <v>0</v>
      </c>
      <c r="R50" s="15"/>
      <c r="S50" s="15"/>
      <c r="T50" s="15"/>
      <c r="U50" s="46">
        <f t="shared" si="5"/>
        <v>0</v>
      </c>
    </row>
    <row r="51" spans="1:24" x14ac:dyDescent="0.45">
      <c r="E51" s="17" t="s">
        <v>30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1700</v>
      </c>
      <c r="M51" s="14">
        <v>0</v>
      </c>
      <c r="N51" s="14">
        <v>0</v>
      </c>
      <c r="O51" s="14"/>
      <c r="P51" s="14">
        <v>1898.4</v>
      </c>
      <c r="Q51" s="14">
        <v>1663.2</v>
      </c>
      <c r="R51" s="14"/>
      <c r="S51" s="14">
        <v>1700</v>
      </c>
      <c r="T51" s="14">
        <v>1671.6</v>
      </c>
      <c r="U51" s="46">
        <f t="shared" si="5"/>
        <v>1700</v>
      </c>
    </row>
    <row r="52" spans="1:24" x14ac:dyDescent="0.45">
      <c r="A52" s="20"/>
      <c r="B52" s="20"/>
      <c r="C52" s="20"/>
      <c r="D52" s="20"/>
      <c r="E52" s="19" t="s">
        <v>97</v>
      </c>
      <c r="F52" s="16">
        <v>3000</v>
      </c>
      <c r="G52" s="16"/>
      <c r="H52" s="16"/>
      <c r="I52" s="16"/>
      <c r="J52" s="16"/>
      <c r="K52" s="16"/>
      <c r="L52" s="16"/>
      <c r="M52" s="16"/>
      <c r="N52" s="16"/>
      <c r="O52" s="16"/>
      <c r="P52" s="16">
        <v>5367.5</v>
      </c>
      <c r="Q52" s="16">
        <v>0</v>
      </c>
      <c r="R52" s="16"/>
      <c r="S52" s="16">
        <v>3000</v>
      </c>
      <c r="T52" s="16">
        <v>262.5</v>
      </c>
      <c r="U52" s="48">
        <f t="shared" si="5"/>
        <v>3000</v>
      </c>
    </row>
    <row r="53" spans="1:24" x14ac:dyDescent="0.45">
      <c r="D53" t="s">
        <v>31</v>
      </c>
      <c r="F53" s="2">
        <f t="shared" ref="F53:O53" si="6">SUM(F45:F52)</f>
        <v>4500</v>
      </c>
      <c r="G53" s="2">
        <f t="shared" si="6"/>
        <v>0</v>
      </c>
      <c r="H53" s="7">
        <f t="shared" si="6"/>
        <v>0</v>
      </c>
      <c r="I53" s="2">
        <f t="shared" si="6"/>
        <v>0</v>
      </c>
      <c r="J53" s="2">
        <f t="shared" si="6"/>
        <v>0</v>
      </c>
      <c r="K53" s="2">
        <f t="shared" si="6"/>
        <v>0</v>
      </c>
      <c r="L53" s="2">
        <f t="shared" si="6"/>
        <v>4375</v>
      </c>
      <c r="M53" s="2">
        <f t="shared" si="6"/>
        <v>0</v>
      </c>
      <c r="N53" s="2">
        <f t="shared" si="6"/>
        <v>0</v>
      </c>
      <c r="O53" s="2">
        <f t="shared" si="6"/>
        <v>0</v>
      </c>
      <c r="P53" s="7">
        <v>10544.63</v>
      </c>
      <c r="Q53" s="7">
        <v>3953.45</v>
      </c>
      <c r="R53" s="7">
        <v>600</v>
      </c>
      <c r="S53" s="7">
        <v>8465</v>
      </c>
      <c r="T53" s="7">
        <v>5801.35</v>
      </c>
      <c r="U53" s="46">
        <f t="shared" si="5"/>
        <v>8875</v>
      </c>
    </row>
    <row r="54" spans="1:24" x14ac:dyDescent="0.45">
      <c r="D54" t="s">
        <v>32</v>
      </c>
      <c r="F54" s="7">
        <v>0</v>
      </c>
      <c r="G54" s="7">
        <f>SUM(4*60)+60</f>
        <v>300</v>
      </c>
      <c r="H54" s="7">
        <v>16755.29</v>
      </c>
      <c r="I54" s="7"/>
      <c r="J54" s="7">
        <f>SUM(180+60)</f>
        <v>240</v>
      </c>
      <c r="K54" s="7">
        <v>2500</v>
      </c>
      <c r="L54" s="7">
        <v>1440</v>
      </c>
      <c r="M54" s="2">
        <v>0</v>
      </c>
      <c r="N54" s="2">
        <v>0</v>
      </c>
      <c r="O54" s="7"/>
      <c r="P54" s="7">
        <v>20175.11</v>
      </c>
      <c r="Q54" s="7">
        <v>10357.99</v>
      </c>
      <c r="R54" s="7">
        <v>50</v>
      </c>
      <c r="S54" s="7">
        <v>3960</v>
      </c>
      <c r="T54" s="7">
        <v>1989.75</v>
      </c>
      <c r="U54" s="46">
        <f t="shared" si="5"/>
        <v>21235.29</v>
      </c>
      <c r="X54" s="11"/>
    </row>
    <row r="55" spans="1:24" x14ac:dyDescent="0.45">
      <c r="D55" t="s">
        <v>33</v>
      </c>
      <c r="F55" s="7">
        <v>600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/>
      <c r="M55" s="2">
        <v>0</v>
      </c>
      <c r="N55" s="2">
        <v>0</v>
      </c>
      <c r="O55" s="2">
        <v>0</v>
      </c>
      <c r="P55" s="7">
        <v>805.24</v>
      </c>
      <c r="Q55" s="7">
        <v>0</v>
      </c>
      <c r="R55" s="7">
        <v>153.30000000000001</v>
      </c>
      <c r="S55" s="7">
        <v>600</v>
      </c>
      <c r="T55" s="7"/>
      <c r="U55" s="46">
        <f t="shared" si="5"/>
        <v>600</v>
      </c>
    </row>
    <row r="56" spans="1:24" x14ac:dyDescent="0.45">
      <c r="D56" t="s">
        <v>34</v>
      </c>
      <c r="F56" s="7">
        <v>0</v>
      </c>
      <c r="G56" s="7">
        <v>700</v>
      </c>
      <c r="H56" s="7">
        <v>1000</v>
      </c>
      <c r="I56" s="7"/>
      <c r="J56" s="7">
        <f>SUM(550.04+550+460)</f>
        <v>1560.04</v>
      </c>
      <c r="K56" s="7">
        <v>600</v>
      </c>
      <c r="L56" s="7"/>
      <c r="M56" s="2">
        <v>0</v>
      </c>
      <c r="N56" s="2">
        <v>0</v>
      </c>
      <c r="O56" s="2">
        <v>0</v>
      </c>
      <c r="P56" s="7">
        <v>6038</v>
      </c>
      <c r="Q56" s="7">
        <v>5310.45</v>
      </c>
      <c r="R56" s="7"/>
      <c r="S56" s="7">
        <v>3800</v>
      </c>
      <c r="T56" s="7">
        <v>945.47</v>
      </c>
      <c r="U56" s="46">
        <f t="shared" si="5"/>
        <v>3860.04</v>
      </c>
    </row>
    <row r="57" spans="1:24" x14ac:dyDescent="0.45">
      <c r="D57" t="s">
        <v>75</v>
      </c>
      <c r="F57" s="7"/>
      <c r="G57" s="7"/>
      <c r="H57" s="7"/>
      <c r="I57" s="7"/>
      <c r="J57" s="7"/>
      <c r="K57" s="7">
        <v>1300</v>
      </c>
      <c r="L57" s="7"/>
      <c r="M57" s="2"/>
      <c r="N57" s="2"/>
      <c r="O57" s="2"/>
      <c r="P57" s="7">
        <v>1200</v>
      </c>
      <c r="Q57" s="7">
        <v>0</v>
      </c>
      <c r="R57" s="7"/>
      <c r="S57" s="7">
        <v>1500</v>
      </c>
      <c r="T57" s="7">
        <v>1200</v>
      </c>
      <c r="U57" s="46">
        <f t="shared" si="5"/>
        <v>1300</v>
      </c>
    </row>
    <row r="58" spans="1:24" x14ac:dyDescent="0.45">
      <c r="D58" t="s">
        <v>84</v>
      </c>
      <c r="F58" s="7"/>
      <c r="G58" s="7"/>
      <c r="H58" s="7"/>
      <c r="I58" s="7"/>
      <c r="J58" s="7"/>
      <c r="K58" s="7"/>
      <c r="L58" s="7"/>
      <c r="M58" s="2"/>
      <c r="N58" s="2"/>
      <c r="O58" s="2"/>
      <c r="P58" s="7"/>
      <c r="Q58" s="7"/>
      <c r="R58" s="7"/>
      <c r="S58" s="7"/>
      <c r="T58" s="7"/>
      <c r="U58" s="46">
        <f t="shared" si="5"/>
        <v>0</v>
      </c>
    </row>
    <row r="59" spans="1:24" x14ac:dyDescent="0.45">
      <c r="D59" t="s">
        <v>35</v>
      </c>
      <c r="F59" s="7"/>
      <c r="G59" s="7"/>
      <c r="H59" s="7"/>
      <c r="I59" s="7"/>
      <c r="J59" s="7"/>
      <c r="K59" s="7"/>
      <c r="L59" s="7"/>
      <c r="M59" s="2"/>
      <c r="N59" s="2"/>
      <c r="O59" s="2"/>
      <c r="P59" s="2"/>
      <c r="Q59" s="7"/>
      <c r="R59" s="7"/>
      <c r="S59" s="7"/>
      <c r="T59" s="7"/>
      <c r="U59" s="46">
        <f t="shared" si="5"/>
        <v>0</v>
      </c>
    </row>
    <row r="60" spans="1:24" x14ac:dyDescent="0.45">
      <c r="E60" s="17" t="s">
        <v>36</v>
      </c>
      <c r="F60" s="15">
        <v>0</v>
      </c>
      <c r="G60" s="15">
        <v>0</v>
      </c>
      <c r="H60" s="15">
        <v>100</v>
      </c>
      <c r="I60" s="15"/>
      <c r="J60" s="15">
        <v>0</v>
      </c>
      <c r="K60" s="15">
        <v>60</v>
      </c>
      <c r="L60" s="15">
        <v>0</v>
      </c>
      <c r="M60" s="15">
        <v>0</v>
      </c>
      <c r="N60" s="15">
        <v>0</v>
      </c>
      <c r="O60" s="15"/>
      <c r="P60" s="15">
        <v>187.05</v>
      </c>
      <c r="Q60" s="15">
        <v>109.16</v>
      </c>
      <c r="R60" s="15"/>
      <c r="S60" s="15">
        <v>100</v>
      </c>
      <c r="T60" s="15">
        <v>57.74</v>
      </c>
      <c r="U60" s="46">
        <f t="shared" si="5"/>
        <v>160</v>
      </c>
    </row>
    <row r="61" spans="1:24" x14ac:dyDescent="0.45">
      <c r="A61" s="20"/>
      <c r="B61" s="20"/>
      <c r="C61" s="20"/>
      <c r="D61" s="20"/>
      <c r="E61" s="19" t="s">
        <v>37</v>
      </c>
      <c r="F61" s="16">
        <v>600</v>
      </c>
      <c r="G61" s="16"/>
      <c r="H61" s="16">
        <v>0</v>
      </c>
      <c r="I61" s="16">
        <v>0</v>
      </c>
      <c r="J61" s="16">
        <v>0</v>
      </c>
      <c r="K61" s="16">
        <v>20</v>
      </c>
      <c r="L61" s="16">
        <v>0</v>
      </c>
      <c r="M61" s="16">
        <v>0</v>
      </c>
      <c r="N61" s="16">
        <v>0</v>
      </c>
      <c r="O61" s="16"/>
      <c r="P61" s="16">
        <v>578.89</v>
      </c>
      <c r="Q61" s="16">
        <v>269.16000000000003</v>
      </c>
      <c r="R61" s="16"/>
      <c r="S61" s="16">
        <v>620</v>
      </c>
      <c r="T61" s="16">
        <v>639.22</v>
      </c>
      <c r="U61" s="48">
        <f t="shared" si="5"/>
        <v>620</v>
      </c>
    </row>
    <row r="62" spans="1:24" x14ac:dyDescent="0.45">
      <c r="D62" t="s">
        <v>38</v>
      </c>
      <c r="F62" s="2">
        <f>SUM(F60:F61)</f>
        <v>600</v>
      </c>
      <c r="G62" s="7">
        <f t="shared" ref="G62:O62" si="7">SUM(G60:G61)</f>
        <v>0</v>
      </c>
      <c r="H62" s="7">
        <f t="shared" si="7"/>
        <v>100</v>
      </c>
      <c r="I62" s="7">
        <f t="shared" si="7"/>
        <v>0</v>
      </c>
      <c r="J62" s="7">
        <f t="shared" si="7"/>
        <v>0</v>
      </c>
      <c r="K62" s="7">
        <f t="shared" si="7"/>
        <v>80</v>
      </c>
      <c r="L62" s="7">
        <f t="shared" si="7"/>
        <v>0</v>
      </c>
      <c r="M62" s="7">
        <f t="shared" si="7"/>
        <v>0</v>
      </c>
      <c r="N62" s="7">
        <f t="shared" si="7"/>
        <v>0</v>
      </c>
      <c r="O62" s="7">
        <f t="shared" si="7"/>
        <v>0</v>
      </c>
      <c r="P62" s="7">
        <v>765.94</v>
      </c>
      <c r="Q62" s="7">
        <v>378.35</v>
      </c>
      <c r="R62" s="7"/>
      <c r="S62" s="7">
        <v>720</v>
      </c>
      <c r="T62" s="7">
        <v>696.96</v>
      </c>
      <c r="U62" s="46">
        <f t="shared" si="5"/>
        <v>780</v>
      </c>
    </row>
    <row r="63" spans="1:24" x14ac:dyDescent="0.45">
      <c r="D63" t="s">
        <v>39</v>
      </c>
      <c r="F63" s="7">
        <v>100</v>
      </c>
      <c r="G63" s="7"/>
      <c r="H63" s="7">
        <v>0</v>
      </c>
      <c r="I63" s="7">
        <v>0</v>
      </c>
      <c r="J63" s="7">
        <v>0</v>
      </c>
      <c r="K63" s="7">
        <v>0</v>
      </c>
      <c r="L63" s="7">
        <v>50</v>
      </c>
      <c r="M63" s="7">
        <v>0</v>
      </c>
      <c r="N63" s="7">
        <v>0</v>
      </c>
      <c r="O63" s="7">
        <v>0</v>
      </c>
      <c r="P63" s="7">
        <v>129.37</v>
      </c>
      <c r="Q63" s="7">
        <v>229.95</v>
      </c>
      <c r="R63" s="7"/>
      <c r="S63" s="7">
        <v>200</v>
      </c>
      <c r="T63" s="7">
        <v>189.77</v>
      </c>
      <c r="U63" s="46">
        <f t="shared" si="5"/>
        <v>150</v>
      </c>
    </row>
    <row r="64" spans="1:24" x14ac:dyDescent="0.45">
      <c r="D64" t="s">
        <v>88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43"/>
    </row>
    <row r="65" spans="1:25" x14ac:dyDescent="0.45">
      <c r="D65" t="s">
        <v>40</v>
      </c>
      <c r="F65" s="7">
        <v>0</v>
      </c>
      <c r="G65" s="7">
        <v>500</v>
      </c>
      <c r="H65" s="7">
        <v>1000</v>
      </c>
      <c r="I65" s="7"/>
      <c r="J65" s="7">
        <v>100</v>
      </c>
      <c r="K65" s="7">
        <v>200</v>
      </c>
      <c r="L65" s="7">
        <v>70</v>
      </c>
      <c r="M65" s="7">
        <v>0</v>
      </c>
      <c r="N65" s="7">
        <v>0</v>
      </c>
      <c r="O65" s="7">
        <v>50</v>
      </c>
      <c r="P65" s="7">
        <v>4305.62</v>
      </c>
      <c r="Q65" s="7">
        <v>3666.1</v>
      </c>
      <c r="R65" s="7"/>
      <c r="S65" s="7">
        <v>1920</v>
      </c>
      <c r="T65" s="7">
        <v>178.39</v>
      </c>
      <c r="U65" s="46">
        <f>SUM(F65:O65)</f>
        <v>1920</v>
      </c>
    </row>
    <row r="66" spans="1:25" x14ac:dyDescent="0.45">
      <c r="D66" t="s">
        <v>41</v>
      </c>
      <c r="F66" s="2"/>
      <c r="G66" s="2"/>
      <c r="H66" s="7"/>
      <c r="I66" s="2"/>
      <c r="J66" s="2"/>
      <c r="K66" s="2"/>
      <c r="L66" s="2"/>
      <c r="M66" s="2"/>
      <c r="N66" s="2"/>
      <c r="O66" s="2"/>
      <c r="P66" s="2"/>
      <c r="Q66" s="7"/>
      <c r="R66" s="7"/>
      <c r="S66" s="7"/>
      <c r="T66" s="7"/>
      <c r="U66" s="43"/>
    </row>
    <row r="67" spans="1:25" x14ac:dyDescent="0.45">
      <c r="A67" s="20"/>
      <c r="B67" s="20"/>
      <c r="C67" s="20"/>
      <c r="D67" s="20"/>
      <c r="E67" s="19" t="s">
        <v>42</v>
      </c>
      <c r="F67" s="16">
        <v>0</v>
      </c>
      <c r="G67" s="16"/>
      <c r="H67" s="16">
        <v>0</v>
      </c>
      <c r="I67" s="16">
        <v>50</v>
      </c>
      <c r="J67" s="16">
        <v>0</v>
      </c>
      <c r="K67" s="16">
        <v>0</v>
      </c>
      <c r="L67" s="16">
        <v>160</v>
      </c>
      <c r="M67" s="16">
        <v>0</v>
      </c>
      <c r="N67" s="16">
        <v>0</v>
      </c>
      <c r="O67" s="16"/>
      <c r="P67" s="16">
        <v>1135.3</v>
      </c>
      <c r="Q67" s="16">
        <v>1215.55</v>
      </c>
      <c r="R67" s="16">
        <v>351.59</v>
      </c>
      <c r="S67" s="16">
        <v>610</v>
      </c>
      <c r="T67" s="16">
        <v>200.43</v>
      </c>
      <c r="U67" s="48">
        <f>SUM(F67:O67)</f>
        <v>210</v>
      </c>
    </row>
    <row r="68" spans="1:25" x14ac:dyDescent="0.45">
      <c r="A68" s="32"/>
      <c r="D68" t="s">
        <v>43</v>
      </c>
      <c r="F68" s="2">
        <f>SUM(F67)</f>
        <v>0</v>
      </c>
      <c r="G68" s="2">
        <f>SUM(G67)</f>
        <v>0</v>
      </c>
      <c r="H68" s="7">
        <f t="shared" ref="H68:O68" si="8">SUM(H67)</f>
        <v>0</v>
      </c>
      <c r="I68" s="2">
        <f t="shared" si="8"/>
        <v>50</v>
      </c>
      <c r="J68" s="2">
        <f t="shared" si="8"/>
        <v>0</v>
      </c>
      <c r="K68" s="2">
        <f t="shared" si="8"/>
        <v>0</v>
      </c>
      <c r="L68" s="2">
        <f t="shared" si="8"/>
        <v>160</v>
      </c>
      <c r="M68" s="2">
        <f t="shared" si="8"/>
        <v>0</v>
      </c>
      <c r="N68" s="2">
        <f t="shared" si="8"/>
        <v>0</v>
      </c>
      <c r="O68" s="2">
        <f t="shared" si="8"/>
        <v>0</v>
      </c>
      <c r="P68" s="7">
        <v>1135.3</v>
      </c>
      <c r="Q68" s="23">
        <v>1215.55</v>
      </c>
      <c r="R68" s="23"/>
      <c r="S68" s="23">
        <v>610</v>
      </c>
      <c r="T68" s="23">
        <v>200.43</v>
      </c>
      <c r="U68" s="46">
        <f>SUM(F68:O68)</f>
        <v>210</v>
      </c>
    </row>
    <row r="69" spans="1:25" x14ac:dyDescent="0.45">
      <c r="D69" t="s">
        <v>44</v>
      </c>
      <c r="F69" s="2"/>
      <c r="G69" s="2"/>
      <c r="H69" s="7"/>
      <c r="I69" s="2"/>
      <c r="J69" s="2"/>
      <c r="K69" s="2"/>
      <c r="L69" s="2"/>
      <c r="M69" s="2"/>
      <c r="N69" s="2"/>
      <c r="O69" s="2"/>
      <c r="P69" s="2"/>
      <c r="Q69" s="7"/>
      <c r="R69" s="7"/>
      <c r="S69" s="23"/>
      <c r="T69" s="7"/>
      <c r="U69" s="43"/>
    </row>
    <row r="70" spans="1:25" x14ac:dyDescent="0.45">
      <c r="E70" s="17" t="s">
        <v>45</v>
      </c>
      <c r="F70" s="15">
        <v>0</v>
      </c>
      <c r="G70" s="15">
        <f>SUM(4*180)*2+140</f>
        <v>1580</v>
      </c>
      <c r="H70" s="15">
        <f>SUM(6*170)*2</f>
        <v>2040</v>
      </c>
      <c r="I70" s="15">
        <v>0</v>
      </c>
      <c r="J70" s="15">
        <f>SUM(540+180)</f>
        <v>720</v>
      </c>
      <c r="K70" s="15">
        <f>SUM(10*161.67)*2</f>
        <v>3233.3999999999996</v>
      </c>
      <c r="L70" s="15">
        <v>4500</v>
      </c>
      <c r="M70" s="15">
        <v>0</v>
      </c>
      <c r="N70" s="15">
        <v>0</v>
      </c>
      <c r="O70" s="15"/>
      <c r="P70" s="15">
        <v>14448.79</v>
      </c>
      <c r="Q70" s="15">
        <v>3219.9</v>
      </c>
      <c r="R70" s="15">
        <v>165.04</v>
      </c>
      <c r="S70" s="15">
        <v>7125.1</v>
      </c>
      <c r="T70" s="15">
        <v>3143.64</v>
      </c>
      <c r="U70" s="46">
        <f t="shared" ref="U70:U79" si="9">SUM(F70:O70)</f>
        <v>12073.4</v>
      </c>
      <c r="X70" s="11"/>
    </row>
    <row r="71" spans="1:25" x14ac:dyDescent="0.45">
      <c r="E71" s="17" t="s">
        <v>46</v>
      </c>
      <c r="F71" s="15">
        <v>0</v>
      </c>
      <c r="G71" s="15">
        <f>SUM(700)+75</f>
        <v>775</v>
      </c>
      <c r="H71" s="15">
        <f>SUM(4*60)*2</f>
        <v>480</v>
      </c>
      <c r="I71" s="15"/>
      <c r="J71" s="15"/>
      <c r="K71" s="15"/>
      <c r="L71" s="15">
        <v>0</v>
      </c>
      <c r="M71" s="15">
        <v>0</v>
      </c>
      <c r="N71" s="15">
        <v>0</v>
      </c>
      <c r="O71" s="15"/>
      <c r="P71" s="15">
        <v>2543.4499999999998</v>
      </c>
      <c r="Q71" s="15">
        <v>940.71</v>
      </c>
      <c r="R71" s="15"/>
      <c r="S71" s="15">
        <v>1450</v>
      </c>
      <c r="T71" s="15"/>
      <c r="U71" s="46">
        <f t="shared" si="9"/>
        <v>1255</v>
      </c>
    </row>
    <row r="72" spans="1:25" x14ac:dyDescent="0.45">
      <c r="A72" s="20"/>
      <c r="B72" s="20"/>
      <c r="C72" s="20"/>
      <c r="D72" s="20"/>
      <c r="E72" s="19" t="s">
        <v>47</v>
      </c>
      <c r="F72" s="16">
        <v>0</v>
      </c>
      <c r="G72" s="16">
        <f>SUM(599.4+599.4+311.4+1091.8)*0.53</f>
        <v>1379.0600000000002</v>
      </c>
      <c r="H72" s="16">
        <f>SUM(599.4+599.4+311.4+1091.8+295)*0.53</f>
        <v>1535.41</v>
      </c>
      <c r="I72" s="16">
        <v>0</v>
      </c>
      <c r="J72" s="16">
        <f>SUM(953.05+180)</f>
        <v>1133.05</v>
      </c>
      <c r="K72" s="16">
        <v>1000</v>
      </c>
      <c r="L72" s="16">
        <v>5901.78</v>
      </c>
      <c r="M72" s="16">
        <v>0</v>
      </c>
      <c r="N72" s="16">
        <v>0</v>
      </c>
      <c r="O72" s="16"/>
      <c r="P72" s="16">
        <v>7056.52</v>
      </c>
      <c r="Q72" s="16">
        <v>1985</v>
      </c>
      <c r="R72" s="16">
        <v>234.27</v>
      </c>
      <c r="S72" s="16">
        <v>5556</v>
      </c>
      <c r="T72" s="16">
        <v>1674.11</v>
      </c>
      <c r="U72" s="48">
        <f t="shared" si="9"/>
        <v>10949.3</v>
      </c>
    </row>
    <row r="73" spans="1:25" x14ac:dyDescent="0.45">
      <c r="D73" t="s">
        <v>48</v>
      </c>
      <c r="F73" s="2">
        <f>SUM(F70:F72)</f>
        <v>0</v>
      </c>
      <c r="G73" s="2">
        <f t="shared" ref="G73:O73" si="10">SUM(G70:G72)</f>
        <v>3734.0600000000004</v>
      </c>
      <c r="H73" s="7">
        <f t="shared" si="10"/>
        <v>4055.41</v>
      </c>
      <c r="I73" s="2">
        <f t="shared" si="10"/>
        <v>0</v>
      </c>
      <c r="J73" s="2">
        <f t="shared" si="10"/>
        <v>1853.05</v>
      </c>
      <c r="K73" s="2">
        <f t="shared" si="10"/>
        <v>4233.3999999999996</v>
      </c>
      <c r="L73" s="2">
        <f t="shared" si="10"/>
        <v>10401.779999999999</v>
      </c>
      <c r="M73" s="2">
        <f t="shared" si="10"/>
        <v>0</v>
      </c>
      <c r="N73" s="2">
        <f t="shared" si="10"/>
        <v>0</v>
      </c>
      <c r="O73" s="2">
        <f t="shared" si="10"/>
        <v>0</v>
      </c>
      <c r="P73" s="7">
        <v>24048.76</v>
      </c>
      <c r="Q73" s="7">
        <v>6145.61</v>
      </c>
      <c r="R73" s="7">
        <v>399.31</v>
      </c>
      <c r="S73" s="7">
        <v>14131</v>
      </c>
      <c r="T73" s="7">
        <v>4817.75</v>
      </c>
      <c r="U73" s="46">
        <f t="shared" si="9"/>
        <v>24277.699999999997</v>
      </c>
    </row>
    <row r="74" spans="1:25" x14ac:dyDescent="0.45">
      <c r="D74" t="s">
        <v>49</v>
      </c>
      <c r="F74" s="2">
        <v>0</v>
      </c>
      <c r="G74" s="7">
        <v>600</v>
      </c>
      <c r="H74" s="7">
        <v>600</v>
      </c>
      <c r="I74" s="7">
        <v>0</v>
      </c>
      <c r="J74" s="7">
        <v>100</v>
      </c>
      <c r="K74" s="7">
        <v>0</v>
      </c>
      <c r="L74" s="7">
        <v>0</v>
      </c>
      <c r="M74" s="7">
        <v>0</v>
      </c>
      <c r="N74" s="7">
        <v>0</v>
      </c>
      <c r="O74" s="7">
        <f>SUM(300+(3*80))</f>
        <v>540</v>
      </c>
      <c r="P74" s="7">
        <v>2225.58</v>
      </c>
      <c r="Q74" s="7">
        <v>362.29</v>
      </c>
      <c r="R74" s="7"/>
      <c r="S74" s="7">
        <v>990</v>
      </c>
      <c r="T74" s="7"/>
      <c r="U74" s="46">
        <f t="shared" si="9"/>
        <v>1840</v>
      </c>
    </row>
    <row r="75" spans="1:25" x14ac:dyDescent="0.45">
      <c r="D75" t="s">
        <v>50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1400</v>
      </c>
      <c r="M75" s="7">
        <v>0</v>
      </c>
      <c r="N75" s="7">
        <v>0</v>
      </c>
      <c r="O75" s="7">
        <v>0</v>
      </c>
      <c r="P75" s="7">
        <v>1402.5</v>
      </c>
      <c r="Q75" s="7">
        <v>1020</v>
      </c>
      <c r="R75" s="7">
        <v>612.5</v>
      </c>
      <c r="S75" s="7">
        <v>1400</v>
      </c>
      <c r="T75" s="7">
        <v>1402.5</v>
      </c>
      <c r="U75" s="46">
        <f t="shared" si="9"/>
        <v>1400</v>
      </c>
      <c r="X75" s="11"/>
    </row>
    <row r="76" spans="1:25" x14ac:dyDescent="0.45">
      <c r="D76" t="s">
        <v>51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4000</v>
      </c>
      <c r="M76" s="7">
        <v>0</v>
      </c>
      <c r="N76" s="7">
        <v>0</v>
      </c>
      <c r="O76" s="7">
        <v>0</v>
      </c>
      <c r="P76" s="7">
        <v>3916</v>
      </c>
      <c r="Q76" s="7">
        <v>0</v>
      </c>
      <c r="R76" s="7"/>
      <c r="S76" s="7">
        <v>4000</v>
      </c>
      <c r="T76" s="7">
        <v>3881</v>
      </c>
      <c r="U76" s="46">
        <f t="shared" si="9"/>
        <v>4000</v>
      </c>
    </row>
    <row r="77" spans="1:25" x14ac:dyDescent="0.45">
      <c r="D77" t="s">
        <v>74</v>
      </c>
      <c r="F77" s="9"/>
      <c r="G77" s="9"/>
      <c r="H77" s="9"/>
      <c r="I77" s="9"/>
      <c r="J77" s="9"/>
      <c r="K77" s="9">
        <f>SUM(30*30)</f>
        <v>900</v>
      </c>
      <c r="L77" s="9"/>
      <c r="M77" s="9"/>
      <c r="N77" s="9"/>
      <c r="O77" s="9"/>
      <c r="P77" s="9">
        <v>1869.27</v>
      </c>
      <c r="Q77" s="9">
        <v>0</v>
      </c>
      <c r="R77" s="9"/>
      <c r="S77" s="9">
        <v>1900</v>
      </c>
      <c r="T77" s="9">
        <v>600</v>
      </c>
      <c r="U77" s="46">
        <f t="shared" si="9"/>
        <v>900</v>
      </c>
    </row>
    <row r="78" spans="1:25" x14ac:dyDescent="0.45">
      <c r="A78" s="20"/>
      <c r="B78" s="20"/>
      <c r="C78" s="20"/>
      <c r="D78" s="20" t="s">
        <v>98</v>
      </c>
      <c r="E78" s="20"/>
      <c r="F78" s="8">
        <v>800</v>
      </c>
      <c r="G78" s="8"/>
      <c r="H78" s="8"/>
      <c r="I78" s="8"/>
      <c r="J78" s="8"/>
      <c r="K78" s="8"/>
      <c r="L78" s="8"/>
      <c r="M78" s="8"/>
      <c r="N78" s="8"/>
      <c r="O78" s="8"/>
      <c r="P78" s="8">
        <v>682.5</v>
      </c>
      <c r="Q78" s="8">
        <v>78.75</v>
      </c>
      <c r="R78" s="8">
        <v>363.75</v>
      </c>
      <c r="S78" s="8">
        <v>800</v>
      </c>
      <c r="T78" s="8">
        <v>1260</v>
      </c>
      <c r="U78" s="48">
        <f t="shared" si="9"/>
        <v>800</v>
      </c>
    </row>
    <row r="79" spans="1:25" x14ac:dyDescent="0.45">
      <c r="C79" s="1" t="s">
        <v>52</v>
      </c>
      <c r="E79" s="1"/>
      <c r="F79" s="3">
        <f>SUM(F37+F39+F40+F41+F42+F53+F54+F55+F56+F57+F62+F63+F65+F68+F73+F74+F75+F76+F77+F78)</f>
        <v>13720</v>
      </c>
      <c r="G79" s="3">
        <f>SUM(G37+G39+G40+G41+G42+G53+G54+G55+G56+G57+G62+G63+G65+G68+G73+G74+G75+G76+G77+G78)</f>
        <v>6173.56</v>
      </c>
      <c r="H79" s="24">
        <f>SUM(H37+H39+H40+H41+H42+H53+H54+H55+H56+H57+H62+H63+H65+H68+H73+H74+H75+H76+H77+H78)</f>
        <v>23510.7</v>
      </c>
      <c r="I79" s="3">
        <f>SUM(I37+I39+I40+I41+I42+I53+I54+I55+I56+I57+I62+I63+I65+I68+I73+I74+I75+I76+I77+I78)</f>
        <v>50</v>
      </c>
      <c r="J79" s="3">
        <f t="shared" ref="J79:M79" si="11">SUM(J37+J39+J40+J41+J42+J53+J54+J55+J56+J57+J62+J63+J65+J68+J73+J74+J75+J76+J77+J78)</f>
        <v>3853.09</v>
      </c>
      <c r="K79" s="3">
        <f t="shared" si="11"/>
        <v>9813.4</v>
      </c>
      <c r="L79" s="3">
        <f t="shared" si="11"/>
        <v>21896.78</v>
      </c>
      <c r="M79" s="3">
        <f t="shared" si="11"/>
        <v>0</v>
      </c>
      <c r="N79" s="3">
        <f t="shared" ref="N79" si="12">SUM(N37+N39+N40+N41+N53+N54+N55+N56+N57+N62+N63+N65+N68+N73+N74+N75+N76+N77+N78)</f>
        <v>0</v>
      </c>
      <c r="O79" s="3">
        <f>SUM(O37+O39+O40+O41+O42+O53+O54+O55+O56+O57+O62+O63+O65+O68+O73+O74+O75+O76+O77+O78)</f>
        <v>890</v>
      </c>
      <c r="P79" s="24">
        <v>85814.21</v>
      </c>
      <c r="Q79" s="24">
        <v>41210.75</v>
      </c>
      <c r="R79" s="24">
        <v>6782.26</v>
      </c>
      <c r="S79" s="24">
        <v>52679.85</v>
      </c>
      <c r="T79" s="24">
        <v>29494.27</v>
      </c>
      <c r="U79" s="50">
        <f t="shared" si="9"/>
        <v>79907.53</v>
      </c>
      <c r="X79" s="11"/>
      <c r="Y79" s="11"/>
    </row>
    <row r="80" spans="1:25" x14ac:dyDescent="0.45">
      <c r="C80" t="s">
        <v>53</v>
      </c>
      <c r="F80" s="2"/>
      <c r="G80" s="2"/>
      <c r="H80" s="7"/>
      <c r="I80" s="2"/>
      <c r="J80" s="2"/>
      <c r="K80" s="2"/>
      <c r="L80" s="2"/>
      <c r="M80" s="2"/>
      <c r="N80" s="2"/>
      <c r="O80" s="2"/>
      <c r="P80" s="7"/>
      <c r="Q80" s="7"/>
      <c r="R80" s="7"/>
      <c r="S80" s="7"/>
      <c r="T80" s="7"/>
      <c r="U80" s="43"/>
    </row>
    <row r="81" spans="1:24" x14ac:dyDescent="0.45">
      <c r="D81" t="s">
        <v>54</v>
      </c>
      <c r="F81" s="7">
        <v>0</v>
      </c>
      <c r="G81" s="7">
        <v>0</v>
      </c>
      <c r="H81" s="7">
        <v>0</v>
      </c>
      <c r="I81" s="7">
        <v>0</v>
      </c>
      <c r="J81" s="7">
        <v>1000</v>
      </c>
      <c r="K81" s="7">
        <v>2000</v>
      </c>
      <c r="L81" s="7">
        <v>11275.87</v>
      </c>
      <c r="M81" s="7">
        <f>SUM(56585.44/2)+20000</f>
        <v>48292.72</v>
      </c>
      <c r="N81" s="7">
        <v>0</v>
      </c>
      <c r="O81" s="7">
        <f>SUM(450+646)</f>
        <v>1096</v>
      </c>
      <c r="P81" s="7">
        <v>62123.41</v>
      </c>
      <c r="Q81" s="7">
        <v>567</v>
      </c>
      <c r="R81" s="7">
        <v>15400.74</v>
      </c>
      <c r="S81" s="7">
        <v>66822.94</v>
      </c>
      <c r="T81" s="7">
        <v>63704.3</v>
      </c>
      <c r="U81" s="46">
        <f>SUM(F81:O81)</f>
        <v>63664.590000000004</v>
      </c>
      <c r="W81" s="11"/>
      <c r="X81" s="11"/>
    </row>
    <row r="82" spans="1:24" x14ac:dyDescent="0.45">
      <c r="D82" t="s">
        <v>55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800</v>
      </c>
      <c r="M82" s="7">
        <v>0</v>
      </c>
      <c r="N82" s="7">
        <v>0</v>
      </c>
      <c r="O82" s="7">
        <v>0</v>
      </c>
      <c r="P82" s="7">
        <v>778.94</v>
      </c>
      <c r="Q82" s="7">
        <v>628.69000000000005</v>
      </c>
      <c r="R82" s="7"/>
      <c r="S82" s="7">
        <v>800</v>
      </c>
      <c r="T82" s="7"/>
      <c r="U82" s="46">
        <f>SUM(F82:O82)</f>
        <v>800</v>
      </c>
      <c r="W82" s="11"/>
    </row>
    <row r="83" spans="1:24" x14ac:dyDescent="0.45">
      <c r="D83" t="s">
        <v>82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>
        <v>170.17</v>
      </c>
      <c r="Q83" s="7">
        <v>0</v>
      </c>
      <c r="R83" s="7"/>
      <c r="S83" s="7">
        <v>200</v>
      </c>
      <c r="T83" s="7"/>
      <c r="U83" s="46">
        <f>SUM(F83:O83)</f>
        <v>0</v>
      </c>
    </row>
    <row r="84" spans="1:24" x14ac:dyDescent="0.45">
      <c r="D84" t="s">
        <v>56</v>
      </c>
      <c r="F84" s="7">
        <v>1000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1100</v>
      </c>
      <c r="M84" s="7">
        <v>0</v>
      </c>
      <c r="N84" s="7">
        <v>0</v>
      </c>
      <c r="O84" s="7">
        <v>0</v>
      </c>
      <c r="P84" s="7">
        <v>1227.1199999999999</v>
      </c>
      <c r="Q84" s="7">
        <v>819.13</v>
      </c>
      <c r="R84" s="7"/>
      <c r="S84" s="7">
        <v>1700</v>
      </c>
      <c r="T84" s="7">
        <v>966.72</v>
      </c>
      <c r="U84" s="46">
        <f>SUM(F84:O84)</f>
        <v>2100</v>
      </c>
      <c r="W84" s="11"/>
    </row>
    <row r="85" spans="1:24" x14ac:dyDescent="0.45">
      <c r="D85" t="s">
        <v>87</v>
      </c>
      <c r="F85" s="7"/>
      <c r="G85" s="7"/>
      <c r="H85" s="7"/>
      <c r="I85" s="7"/>
      <c r="J85" s="7"/>
      <c r="K85" s="7"/>
      <c r="M85" s="7"/>
      <c r="N85" s="7"/>
      <c r="O85" s="7"/>
      <c r="P85" s="2"/>
      <c r="Q85" s="7"/>
      <c r="R85" s="7"/>
      <c r="S85" s="7"/>
      <c r="T85" s="7"/>
      <c r="U85" s="46">
        <f>SUM(F85:O85)</f>
        <v>0</v>
      </c>
    </row>
    <row r="86" spans="1:24" x14ac:dyDescent="0.45">
      <c r="D86" t="s">
        <v>57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2"/>
      <c r="Q86" s="7"/>
      <c r="R86" s="7"/>
      <c r="S86" s="7"/>
      <c r="T86" s="7"/>
      <c r="U86" s="43"/>
      <c r="W86" s="11"/>
    </row>
    <row r="87" spans="1:24" x14ac:dyDescent="0.45">
      <c r="D87" s="17" t="s">
        <v>85</v>
      </c>
      <c r="E87" s="1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>
        <v>1130.8499999999999</v>
      </c>
      <c r="Q87" s="15">
        <v>0</v>
      </c>
      <c r="R87" s="15"/>
      <c r="S87" s="15">
        <v>1120</v>
      </c>
      <c r="T87" s="15">
        <v>195.11</v>
      </c>
      <c r="U87" s="46">
        <f t="shared" ref="U87:U102" si="13">SUM(F87:O87)</f>
        <v>0</v>
      </c>
    </row>
    <row r="88" spans="1:24" x14ac:dyDescent="0.45">
      <c r="D88" s="17" t="s">
        <v>99</v>
      </c>
      <c r="E88" s="17"/>
      <c r="F88" s="15"/>
      <c r="G88" s="15"/>
      <c r="H88" s="15"/>
      <c r="I88" s="15"/>
      <c r="J88" s="15"/>
      <c r="K88" s="15"/>
      <c r="L88" s="15"/>
      <c r="M88" s="15"/>
      <c r="N88" s="15"/>
      <c r="O88" s="15">
        <f>SUM(6*6)+(2*6)</f>
        <v>48</v>
      </c>
      <c r="P88" s="15">
        <v>18</v>
      </c>
      <c r="Q88" s="15">
        <v>0</v>
      </c>
      <c r="R88" s="15"/>
      <c r="S88" s="15">
        <v>36</v>
      </c>
      <c r="T88" s="15"/>
      <c r="U88" s="46">
        <f t="shared" si="13"/>
        <v>48</v>
      </c>
    </row>
    <row r="89" spans="1:24" x14ac:dyDescent="0.45">
      <c r="D89" s="17" t="s">
        <v>101</v>
      </c>
      <c r="E89" s="17"/>
      <c r="F89" s="15"/>
      <c r="G89" s="15"/>
      <c r="H89" s="15"/>
      <c r="I89" s="15"/>
      <c r="J89" s="15"/>
      <c r="K89" s="15"/>
      <c r="L89" s="15"/>
      <c r="M89" s="15"/>
      <c r="N89" s="15"/>
      <c r="O89" s="15">
        <f>SUM(250+50)</f>
        <v>300</v>
      </c>
      <c r="P89" s="15">
        <v>578.96</v>
      </c>
      <c r="Q89" s="15">
        <v>28.08</v>
      </c>
      <c r="R89" s="15"/>
      <c r="S89" s="15">
        <v>2740</v>
      </c>
      <c r="T89" s="15">
        <v>319.98</v>
      </c>
      <c r="U89" s="46">
        <f t="shared" si="13"/>
        <v>300</v>
      </c>
    </row>
    <row r="90" spans="1:24" x14ac:dyDescent="0.45">
      <c r="D90" s="17" t="s">
        <v>86</v>
      </c>
      <c r="E90" s="1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>
        <v>350</v>
      </c>
      <c r="Q90" s="15">
        <v>0</v>
      </c>
      <c r="R90" s="15"/>
      <c r="S90" s="15">
        <v>1000</v>
      </c>
      <c r="T90" s="15">
        <v>15.19</v>
      </c>
      <c r="U90" s="46">
        <f t="shared" si="13"/>
        <v>0</v>
      </c>
    </row>
    <row r="91" spans="1:24" x14ac:dyDescent="0.45">
      <c r="D91" s="17" t="s">
        <v>100</v>
      </c>
      <c r="E91" s="17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>
        <v>92.65</v>
      </c>
      <c r="Q91" s="15">
        <v>0</v>
      </c>
      <c r="R91" s="15"/>
      <c r="S91" s="15">
        <v>100</v>
      </c>
      <c r="T91" s="15"/>
      <c r="U91" s="46">
        <f t="shared" si="13"/>
        <v>0</v>
      </c>
    </row>
    <row r="92" spans="1:24" x14ac:dyDescent="0.45">
      <c r="D92" s="17" t="s">
        <v>58</v>
      </c>
      <c r="E92" s="17"/>
      <c r="F92" s="14">
        <v>0</v>
      </c>
      <c r="G92" s="14">
        <v>0</v>
      </c>
      <c r="H92" s="14">
        <v>0</v>
      </c>
      <c r="I92" s="14">
        <v>0</v>
      </c>
      <c r="J92" s="14"/>
      <c r="K92" s="14">
        <v>0</v>
      </c>
      <c r="L92" s="14">
        <v>0</v>
      </c>
      <c r="M92" s="14">
        <v>0</v>
      </c>
      <c r="N92" s="14">
        <v>0</v>
      </c>
      <c r="O92" s="14"/>
      <c r="P92" s="14">
        <v>2329.94</v>
      </c>
      <c r="Q92" s="14">
        <v>0</v>
      </c>
      <c r="R92" s="14"/>
      <c r="S92" s="14">
        <v>1471</v>
      </c>
      <c r="T92" s="14">
        <v>1013.51</v>
      </c>
      <c r="U92" s="46">
        <f t="shared" si="13"/>
        <v>0</v>
      </c>
    </row>
    <row r="93" spans="1:24" x14ac:dyDescent="0.45">
      <c r="D93" s="17" t="s">
        <v>70</v>
      </c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>
        <f>SUM(12*79)+(4*73)</f>
        <v>1240</v>
      </c>
      <c r="P93" s="15">
        <v>921</v>
      </c>
      <c r="Q93" s="15">
        <v>836</v>
      </c>
      <c r="R93" s="15"/>
      <c r="S93" s="15">
        <v>948</v>
      </c>
      <c r="T93" s="15">
        <v>520</v>
      </c>
      <c r="U93" s="46">
        <f t="shared" si="13"/>
        <v>1240</v>
      </c>
    </row>
    <row r="94" spans="1:24" x14ac:dyDescent="0.45">
      <c r="A94" s="20"/>
      <c r="B94" s="20"/>
      <c r="C94" s="20"/>
      <c r="D94" s="40" t="s">
        <v>114</v>
      </c>
      <c r="E94" s="40"/>
      <c r="F94" s="2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>
        <v>0</v>
      </c>
      <c r="R94" s="16"/>
      <c r="S94" s="16"/>
      <c r="T94" s="16"/>
      <c r="U94" s="48">
        <f t="shared" si="13"/>
        <v>0</v>
      </c>
      <c r="W94" s="11"/>
    </row>
    <row r="95" spans="1:24" x14ac:dyDescent="0.45">
      <c r="D95" s="1" t="s">
        <v>59</v>
      </c>
      <c r="E95" s="1"/>
      <c r="F95" s="2">
        <f t="shared" ref="F95:M95" si="14">SUM(F87:F94)</f>
        <v>0</v>
      </c>
      <c r="G95" s="2">
        <f t="shared" si="14"/>
        <v>0</v>
      </c>
      <c r="H95" s="7">
        <f t="shared" si="14"/>
        <v>0</v>
      </c>
      <c r="I95" s="2">
        <f t="shared" si="14"/>
        <v>0</v>
      </c>
      <c r="J95" s="2">
        <f t="shared" si="14"/>
        <v>0</v>
      </c>
      <c r="K95" s="2">
        <f t="shared" si="14"/>
        <v>0</v>
      </c>
      <c r="L95" s="2">
        <f t="shared" si="14"/>
        <v>0</v>
      </c>
      <c r="M95" s="2">
        <f t="shared" si="14"/>
        <v>0</v>
      </c>
      <c r="N95" s="2">
        <f t="shared" ref="N95" si="15">SUM(N87:N92)</f>
        <v>0</v>
      </c>
      <c r="O95" s="2">
        <f>SUM(O87:O94)</f>
        <v>1588</v>
      </c>
      <c r="P95" s="7">
        <v>5421.17</v>
      </c>
      <c r="Q95" s="7">
        <v>2878.9</v>
      </c>
      <c r="R95" s="7"/>
      <c r="S95" s="7">
        <v>7415</v>
      </c>
      <c r="T95" s="7">
        <v>2063.79</v>
      </c>
      <c r="U95" s="46">
        <f t="shared" si="13"/>
        <v>1588</v>
      </c>
    </row>
    <row r="96" spans="1:24" x14ac:dyDescent="0.45">
      <c r="D96" t="s">
        <v>73</v>
      </c>
      <c r="F96" s="2"/>
      <c r="G96" s="2"/>
      <c r="H96" s="7"/>
      <c r="I96" s="2"/>
      <c r="J96" s="7"/>
      <c r="K96" s="7">
        <f>SUM(4.13*10)+(5.5*30)+(2.1*40)</f>
        <v>290.3</v>
      </c>
      <c r="L96" s="7"/>
      <c r="M96" s="7"/>
      <c r="N96" s="7"/>
      <c r="O96" s="7">
        <f>SUM(25*0.83)+(70*1.65)+(0.52*115)+(20*0.83)</f>
        <v>212.65</v>
      </c>
      <c r="P96" s="7">
        <v>697.97</v>
      </c>
      <c r="Q96" s="7">
        <v>515.77</v>
      </c>
      <c r="R96" s="7"/>
      <c r="S96" s="7">
        <v>727.77</v>
      </c>
      <c r="T96" s="7">
        <v>301.04000000000002</v>
      </c>
      <c r="U96" s="46">
        <f t="shared" si="13"/>
        <v>502.95000000000005</v>
      </c>
    </row>
    <row r="97" spans="1:24" x14ac:dyDescent="0.45">
      <c r="D97" t="s">
        <v>68</v>
      </c>
      <c r="F97" s="2"/>
      <c r="G97" s="2"/>
      <c r="H97" s="7"/>
      <c r="I97" s="2"/>
      <c r="J97" s="7"/>
      <c r="K97" s="7"/>
      <c r="L97" s="7"/>
      <c r="M97" s="7"/>
      <c r="N97" s="7"/>
      <c r="O97" s="7">
        <v>250</v>
      </c>
      <c r="P97" s="7">
        <v>230</v>
      </c>
      <c r="Q97" s="7">
        <v>235</v>
      </c>
      <c r="R97" s="7"/>
      <c r="S97" s="7">
        <v>250</v>
      </c>
      <c r="T97" s="7">
        <v>165.38</v>
      </c>
      <c r="U97" s="46">
        <f t="shared" si="13"/>
        <v>250</v>
      </c>
    </row>
    <row r="98" spans="1:24" x14ac:dyDescent="0.45">
      <c r="D98" t="s">
        <v>69</v>
      </c>
      <c r="F98" s="18"/>
      <c r="G98" s="2"/>
      <c r="H98" s="7"/>
      <c r="I98" s="2"/>
      <c r="J98" s="7"/>
      <c r="K98" s="7"/>
      <c r="L98" s="7"/>
      <c r="M98" s="7"/>
      <c r="N98" s="7"/>
      <c r="O98" s="7">
        <v>50</v>
      </c>
      <c r="P98" s="7">
        <v>23.25</v>
      </c>
      <c r="Q98" s="7">
        <v>3.89</v>
      </c>
      <c r="R98" s="7"/>
      <c r="S98" s="7">
        <v>50</v>
      </c>
      <c r="T98" s="7"/>
      <c r="U98" s="46">
        <f t="shared" si="13"/>
        <v>50</v>
      </c>
    </row>
    <row r="99" spans="1:24" x14ac:dyDescent="0.45">
      <c r="D99" t="s">
        <v>71</v>
      </c>
      <c r="F99" s="2"/>
      <c r="G99" s="2"/>
      <c r="H99" s="7"/>
      <c r="I99" s="2"/>
      <c r="J99" s="7">
        <v>500</v>
      </c>
      <c r="K99" s="7"/>
      <c r="L99" s="7"/>
      <c r="M99" s="7"/>
      <c r="N99" s="7"/>
      <c r="O99" s="7">
        <v>3622.5</v>
      </c>
      <c r="P99" s="7">
        <v>2363</v>
      </c>
      <c r="Q99" s="7">
        <v>4247.25</v>
      </c>
      <c r="R99" s="7"/>
      <c r="S99" s="7">
        <v>500</v>
      </c>
      <c r="T99" s="7">
        <v>500</v>
      </c>
      <c r="U99" s="46">
        <f t="shared" si="13"/>
        <v>4122.5</v>
      </c>
    </row>
    <row r="100" spans="1:24" x14ac:dyDescent="0.45">
      <c r="D100" t="s">
        <v>72</v>
      </c>
      <c r="F100" s="2"/>
      <c r="G100" s="2"/>
      <c r="H100" s="7"/>
      <c r="I100" s="2"/>
      <c r="J100" s="7"/>
      <c r="K100" s="7">
        <v>1500</v>
      </c>
      <c r="L100" s="7"/>
      <c r="M100" s="7"/>
      <c r="N100" s="7"/>
      <c r="O100" s="7"/>
      <c r="P100" s="7">
        <v>200</v>
      </c>
      <c r="Q100" s="7">
        <v>0</v>
      </c>
      <c r="R100" s="7"/>
      <c r="S100" s="7">
        <v>500</v>
      </c>
      <c r="T100" s="7">
        <v>1500</v>
      </c>
      <c r="U100" s="46">
        <f t="shared" si="13"/>
        <v>1500</v>
      </c>
    </row>
    <row r="101" spans="1:24" x14ac:dyDescent="0.45">
      <c r="D101" t="s">
        <v>83</v>
      </c>
      <c r="F101" s="2"/>
      <c r="G101" s="2"/>
      <c r="H101" s="7"/>
      <c r="I101" s="2"/>
      <c r="J101" s="2"/>
      <c r="K101" s="2"/>
      <c r="L101" s="2"/>
      <c r="M101" s="2"/>
      <c r="N101" s="2"/>
      <c r="O101" s="2"/>
      <c r="P101" s="2"/>
      <c r="Q101" s="7"/>
      <c r="R101" s="7"/>
      <c r="S101" s="7"/>
      <c r="T101" s="7"/>
      <c r="U101" s="46">
        <f t="shared" si="13"/>
        <v>0</v>
      </c>
    </row>
    <row r="102" spans="1:24" x14ac:dyDescent="0.45">
      <c r="A102" s="20"/>
      <c r="B102" s="20"/>
      <c r="C102" s="38" t="s">
        <v>60</v>
      </c>
      <c r="D102" s="38"/>
      <c r="E102" s="38"/>
      <c r="F102" s="4">
        <f t="shared" ref="F102:M102" si="16">SUM(F81+F82+F83+F84+F85+F95+F96+F97+F98+F99+F100+F101)</f>
        <v>1000</v>
      </c>
      <c r="G102" s="4">
        <f t="shared" si="16"/>
        <v>0</v>
      </c>
      <c r="H102" s="25">
        <f t="shared" si="16"/>
        <v>0</v>
      </c>
      <c r="I102" s="4">
        <f t="shared" si="16"/>
        <v>0</v>
      </c>
      <c r="J102" s="4">
        <f t="shared" si="16"/>
        <v>1500</v>
      </c>
      <c r="K102" s="4">
        <f t="shared" si="16"/>
        <v>3790.3</v>
      </c>
      <c r="L102" s="4">
        <f t="shared" si="16"/>
        <v>13175.87</v>
      </c>
      <c r="M102" s="4">
        <f t="shared" si="16"/>
        <v>48292.72</v>
      </c>
      <c r="N102" s="4">
        <f>SUM(N81+N82+N84+N95+N96+N97+N98+N93+N99+N100)</f>
        <v>0</v>
      </c>
      <c r="O102" s="4">
        <f>SUM(O81+O82+O83+O84+O85+O95+O96+O97+O98+O99+O100+O101)</f>
        <v>6819.15</v>
      </c>
      <c r="P102" s="4">
        <f>SUM(P81+P82+P83+P84+P95+P96+P97+P98+P99+P100)</f>
        <v>73235.030000000013</v>
      </c>
      <c r="Q102" s="25">
        <f>SUM(Q81+Q82+Q83+Q84+Q95+Q96+Q97+Q98+Q99+Q100)</f>
        <v>9895.630000000001</v>
      </c>
      <c r="R102" s="25">
        <f>SUM(R81+R82+R83+R84+R95+R96+R97+R98+R99+R100)</f>
        <v>15400.74</v>
      </c>
      <c r="S102" s="25">
        <v>78965.710000000006</v>
      </c>
      <c r="T102" s="25">
        <v>69201.23</v>
      </c>
      <c r="U102" s="51">
        <f t="shared" si="13"/>
        <v>74578.039999999994</v>
      </c>
      <c r="W102" s="11"/>
      <c r="X102" s="11"/>
    </row>
    <row r="103" spans="1:24" x14ac:dyDescent="0.45">
      <c r="A103" s="22"/>
      <c r="B103" s="21" t="s">
        <v>61</v>
      </c>
      <c r="C103" s="21"/>
      <c r="D103" s="21"/>
      <c r="E103" s="21"/>
      <c r="F103" s="5">
        <f t="shared" ref="F103:O103" si="17">SUM(F79+F102)</f>
        <v>14720</v>
      </c>
      <c r="G103" s="5">
        <f t="shared" si="17"/>
        <v>6173.56</v>
      </c>
      <c r="H103" s="5">
        <f t="shared" si="17"/>
        <v>23510.7</v>
      </c>
      <c r="I103" s="5">
        <f t="shared" si="17"/>
        <v>50</v>
      </c>
      <c r="J103" s="5">
        <f t="shared" si="17"/>
        <v>5353.09</v>
      </c>
      <c r="K103" s="5">
        <f t="shared" si="17"/>
        <v>13603.7</v>
      </c>
      <c r="L103" s="5">
        <f t="shared" si="17"/>
        <v>35072.65</v>
      </c>
      <c r="M103" s="5">
        <f t="shared" si="17"/>
        <v>48292.72</v>
      </c>
      <c r="N103" s="5">
        <f t="shared" si="17"/>
        <v>0</v>
      </c>
      <c r="O103" s="5">
        <f t="shared" si="17"/>
        <v>7709.15</v>
      </c>
      <c r="P103" s="10">
        <v>159049.24</v>
      </c>
      <c r="Q103" s="10">
        <v>49091.56</v>
      </c>
      <c r="R103" s="10">
        <v>22183</v>
      </c>
      <c r="S103" s="10">
        <v>131645.56</v>
      </c>
      <c r="T103" s="10">
        <v>98695.5</v>
      </c>
      <c r="U103" s="52">
        <f>SUM(U79+U102)</f>
        <v>154485.57</v>
      </c>
    </row>
    <row r="104" spans="1:24" x14ac:dyDescent="0.45">
      <c r="A104" s="1" t="s">
        <v>62</v>
      </c>
      <c r="F104" s="2">
        <f t="shared" ref="F104:O104" si="18">SUM(F34-F103)</f>
        <v>-2520</v>
      </c>
      <c r="G104" s="2">
        <f t="shared" si="18"/>
        <v>-6173.56</v>
      </c>
      <c r="H104" s="7">
        <f t="shared" si="18"/>
        <v>-23510.7</v>
      </c>
      <c r="I104" s="2">
        <f t="shared" si="18"/>
        <v>-50</v>
      </c>
      <c r="J104" s="2">
        <f t="shared" si="18"/>
        <v>-5353.09</v>
      </c>
      <c r="K104" s="2">
        <f t="shared" si="18"/>
        <v>-6103.7000000000007</v>
      </c>
      <c r="L104" s="2">
        <f t="shared" si="18"/>
        <v>55527.35</v>
      </c>
      <c r="M104" s="2">
        <f t="shared" si="18"/>
        <v>0</v>
      </c>
      <c r="N104" s="2">
        <f t="shared" si="18"/>
        <v>0</v>
      </c>
      <c r="O104" s="2">
        <f t="shared" si="18"/>
        <v>-2159.1499999999996</v>
      </c>
      <c r="P104" s="7">
        <v>164.36</v>
      </c>
      <c r="Q104" s="7">
        <v>-261.43</v>
      </c>
      <c r="R104" s="7">
        <v>18325</v>
      </c>
      <c r="S104" s="7">
        <v>997.16</v>
      </c>
      <c r="T104" s="7">
        <v>49205.02</v>
      </c>
      <c r="U104" s="47">
        <f>SUM(U34-U103)</f>
        <v>9657.1499999999942</v>
      </c>
      <c r="V104" s="11">
        <f>SUM(11400-U104)</f>
        <v>1742.8500000000058</v>
      </c>
      <c r="W104" s="11" t="s">
        <v>174</v>
      </c>
      <c r="X104" s="11"/>
    </row>
    <row r="105" spans="1:24" x14ac:dyDescent="0.45">
      <c r="A105" s="1"/>
      <c r="F105" s="2"/>
      <c r="G105" s="2"/>
      <c r="H105" s="7"/>
      <c r="I105" s="2"/>
      <c r="J105" s="2"/>
      <c r="K105" s="2"/>
      <c r="L105" s="2"/>
      <c r="M105" s="2"/>
      <c r="N105" s="2"/>
      <c r="O105" s="2"/>
      <c r="P105" s="7"/>
      <c r="Q105" s="7"/>
      <c r="R105" s="7"/>
      <c r="S105" s="7"/>
      <c r="T105" s="7"/>
      <c r="U105" s="41"/>
      <c r="W105" s="11"/>
      <c r="X105" s="11"/>
    </row>
    <row r="106" spans="1:24" x14ac:dyDescent="0.45">
      <c r="A106" s="1"/>
      <c r="E106" s="1" t="s">
        <v>140</v>
      </c>
      <c r="F106" s="2">
        <v>9553.74</v>
      </c>
      <c r="G106" s="2">
        <v>0</v>
      </c>
      <c r="H106" s="7">
        <v>0</v>
      </c>
      <c r="I106" s="2">
        <v>44.52</v>
      </c>
      <c r="J106" s="2">
        <v>2628.63</v>
      </c>
      <c r="K106" s="2">
        <v>11828.59</v>
      </c>
      <c r="L106" s="2">
        <v>43936.99</v>
      </c>
      <c r="M106" s="2">
        <v>28292.22</v>
      </c>
      <c r="N106" s="2"/>
      <c r="O106" s="2">
        <v>2410.84</v>
      </c>
      <c r="P106" s="7"/>
      <c r="Q106" s="7"/>
      <c r="R106" s="7"/>
      <c r="S106" s="7"/>
      <c r="T106" s="7">
        <v>98156.27</v>
      </c>
      <c r="U106" s="41"/>
      <c r="W106" s="11"/>
      <c r="X106" s="11"/>
    </row>
    <row r="107" spans="1:24" x14ac:dyDescent="0.45">
      <c r="A107" s="1"/>
      <c r="E107" s="1" t="s">
        <v>141</v>
      </c>
      <c r="F107" s="2">
        <v>2732.5</v>
      </c>
      <c r="G107" s="2">
        <v>0</v>
      </c>
      <c r="H107" s="7">
        <v>0</v>
      </c>
      <c r="I107" s="2">
        <v>2505.48</v>
      </c>
      <c r="J107" s="2">
        <v>-2628.63</v>
      </c>
      <c r="K107" s="2">
        <v>-6718.59</v>
      </c>
      <c r="L107" s="2">
        <v>59032.23</v>
      </c>
      <c r="M107" s="2">
        <v>-6217.13</v>
      </c>
      <c r="N107" s="2"/>
      <c r="O107" s="2">
        <v>499.16</v>
      </c>
      <c r="P107" s="7"/>
      <c r="Q107" s="7"/>
      <c r="R107" s="7"/>
      <c r="S107" s="7"/>
      <c r="T107" s="7">
        <v>37977.49</v>
      </c>
      <c r="U107" s="41"/>
      <c r="W107" s="11"/>
      <c r="X107" s="11"/>
    </row>
    <row r="109" spans="1:24" x14ac:dyDescent="0.45">
      <c r="E109" s="1" t="s">
        <v>127</v>
      </c>
      <c r="F109" s="2">
        <v>5368.86</v>
      </c>
      <c r="G109" s="2">
        <v>0</v>
      </c>
      <c r="H109" s="2">
        <v>0</v>
      </c>
      <c r="I109" s="2">
        <v>104.07</v>
      </c>
      <c r="J109" s="2">
        <v>0</v>
      </c>
      <c r="K109" s="2">
        <v>0</v>
      </c>
      <c r="L109" s="2">
        <v>1818.76</v>
      </c>
      <c r="M109" s="2">
        <v>14891.31</v>
      </c>
      <c r="N109" s="2"/>
      <c r="O109" s="2">
        <v>0</v>
      </c>
      <c r="P109" s="2"/>
      <c r="Q109" s="2"/>
      <c r="R109" s="2">
        <v>22183</v>
      </c>
      <c r="S109" s="2"/>
      <c r="T109" s="2"/>
      <c r="W109" s="11"/>
    </row>
    <row r="110" spans="1:24" x14ac:dyDescent="0.45">
      <c r="E110" s="1" t="s">
        <v>128</v>
      </c>
      <c r="F110" s="2">
        <v>2789.24</v>
      </c>
      <c r="G110" s="2">
        <v>0</v>
      </c>
      <c r="H110" s="2">
        <v>0</v>
      </c>
      <c r="I110" s="2">
        <v>1845.93</v>
      </c>
      <c r="J110" s="2">
        <v>0</v>
      </c>
      <c r="K110" s="2">
        <v>0</v>
      </c>
      <c r="L110" s="2">
        <v>13689.93</v>
      </c>
      <c r="M110" s="2">
        <v>0</v>
      </c>
      <c r="N110" s="2"/>
      <c r="O110" s="2">
        <v>0</v>
      </c>
      <c r="P110" s="2"/>
      <c r="Q110" s="2"/>
      <c r="R110" s="2">
        <v>18325</v>
      </c>
      <c r="S110" s="2"/>
      <c r="T110" s="2"/>
    </row>
    <row r="112" spans="1:24" x14ac:dyDescent="0.45">
      <c r="E112" s="1" t="s">
        <v>115</v>
      </c>
      <c r="F112" s="2">
        <v>6472.78</v>
      </c>
      <c r="G112" s="2">
        <v>3365.98</v>
      </c>
      <c r="H112" s="2">
        <v>20502.45</v>
      </c>
      <c r="I112" s="2">
        <v>36.5</v>
      </c>
      <c r="J112" s="2">
        <v>1624.66</v>
      </c>
      <c r="K112" s="2">
        <v>425.06</v>
      </c>
      <c r="L112" s="2">
        <v>10498.63</v>
      </c>
      <c r="M112" s="2">
        <v>1</v>
      </c>
      <c r="N112" s="2"/>
      <c r="O112" s="2">
        <v>6164.5</v>
      </c>
      <c r="Q112" s="2">
        <v>49091.56</v>
      </c>
      <c r="R112" s="2"/>
      <c r="S112" s="2"/>
      <c r="T112" s="2"/>
      <c r="U112" s="2"/>
    </row>
    <row r="113" spans="5:21" x14ac:dyDescent="0.45">
      <c r="E113" s="1" t="s">
        <v>116</v>
      </c>
      <c r="F113" s="2">
        <v>-7526.91</v>
      </c>
      <c r="G113" s="2">
        <v>-3364.11</v>
      </c>
      <c r="H113" s="2">
        <v>-20502.45</v>
      </c>
      <c r="I113" s="2">
        <v>-36.5</v>
      </c>
      <c r="J113" s="2">
        <v>-1624.66</v>
      </c>
      <c r="K113" s="2">
        <v>-2124.94</v>
      </c>
      <c r="L113" s="2">
        <v>30573.759999999998</v>
      </c>
      <c r="M113" s="2">
        <v>-1</v>
      </c>
      <c r="N113" s="2"/>
      <c r="O113" s="2">
        <v>95.5</v>
      </c>
      <c r="Q113" s="2">
        <v>-261.43</v>
      </c>
      <c r="R113" s="2"/>
      <c r="S113" s="2"/>
      <c r="T113" s="2"/>
      <c r="U113" s="2"/>
    </row>
    <row r="115" spans="5:21" x14ac:dyDescent="0.45">
      <c r="E115" s="1" t="s">
        <v>105</v>
      </c>
      <c r="F115" s="2">
        <v>15230.24</v>
      </c>
      <c r="G115" s="2">
        <v>13800.25</v>
      </c>
      <c r="H115" s="2">
        <v>27613.91</v>
      </c>
      <c r="I115" s="2">
        <v>8.36</v>
      </c>
      <c r="J115" s="2">
        <v>5715.25</v>
      </c>
      <c r="K115" s="2">
        <v>14271.87</v>
      </c>
      <c r="L115" s="2">
        <v>56360.31</v>
      </c>
      <c r="M115" s="2">
        <v>20004</v>
      </c>
      <c r="N115" s="2"/>
      <c r="O115" s="2">
        <v>5845.05</v>
      </c>
      <c r="P115" s="2">
        <v>159049.24</v>
      </c>
      <c r="Q115" s="3"/>
      <c r="R115" s="3"/>
      <c r="S115" s="3"/>
      <c r="T115" s="3"/>
    </row>
    <row r="116" spans="5:21" x14ac:dyDescent="0.45">
      <c r="E116" s="1" t="s">
        <v>106</v>
      </c>
      <c r="F116" s="2">
        <v>6742.24</v>
      </c>
      <c r="G116" s="2">
        <v>-13800.25</v>
      </c>
      <c r="H116" s="2">
        <v>-27613.91</v>
      </c>
      <c r="I116" s="2">
        <v>10718.67</v>
      </c>
      <c r="J116" s="2">
        <v>-5715.25</v>
      </c>
      <c r="K116" s="2">
        <v>-4121.87</v>
      </c>
      <c r="L116" s="2">
        <v>44705.78</v>
      </c>
      <c r="M116" s="2">
        <v>-13246</v>
      </c>
      <c r="N116" s="2"/>
      <c r="O116" s="2">
        <v>-505.05</v>
      </c>
      <c r="P116" s="2">
        <v>164.36</v>
      </c>
      <c r="Q116" s="3"/>
      <c r="R116" s="3"/>
      <c r="S116" s="3"/>
      <c r="T116" s="3"/>
    </row>
    <row r="117" spans="5:21" x14ac:dyDescent="0.45">
      <c r="E117" s="1"/>
      <c r="F117" s="12"/>
      <c r="G117" s="12"/>
      <c r="H117" s="12"/>
      <c r="I117" s="3"/>
      <c r="J117" s="12"/>
      <c r="K117" s="3"/>
      <c r="L117" s="3"/>
      <c r="M117" s="12"/>
      <c r="N117" s="3"/>
      <c r="O117" s="3"/>
      <c r="P117" s="3"/>
    </row>
    <row r="118" spans="5:21" x14ac:dyDescent="0.45">
      <c r="E118" s="1" t="s">
        <v>131</v>
      </c>
      <c r="F118" s="12"/>
      <c r="G118" s="12"/>
      <c r="H118" s="12"/>
      <c r="I118" s="3"/>
      <c r="J118" s="12"/>
      <c r="K118" s="3"/>
      <c r="L118" s="3"/>
      <c r="M118" s="12"/>
      <c r="N118" s="3"/>
      <c r="O118" s="3"/>
      <c r="P118" s="3"/>
    </row>
    <row r="119" spans="5:21" x14ac:dyDescent="0.45">
      <c r="E119" s="1" t="s">
        <v>146</v>
      </c>
      <c r="F119" s="12" t="s">
        <v>147</v>
      </c>
      <c r="G119" s="12"/>
      <c r="H119" s="12"/>
      <c r="I119" s="3"/>
      <c r="J119" s="12"/>
      <c r="K119" s="3"/>
      <c r="L119" s="3"/>
      <c r="M119" s="12"/>
      <c r="N119" s="3"/>
      <c r="O119" s="3"/>
      <c r="P119" s="3"/>
    </row>
    <row r="120" spans="5:21" x14ac:dyDescent="0.45">
      <c r="E120" s="1" t="s">
        <v>122</v>
      </c>
      <c r="F120" s="57" t="s">
        <v>136</v>
      </c>
      <c r="G120" s="57"/>
      <c r="H120" s="57"/>
      <c r="I120" s="24"/>
      <c r="J120" s="57"/>
      <c r="K120" s="24"/>
      <c r="L120" s="24"/>
      <c r="M120" s="12"/>
      <c r="N120" s="3"/>
      <c r="O120" s="3"/>
      <c r="P120" s="3"/>
    </row>
    <row r="121" spans="5:21" x14ac:dyDescent="0.45">
      <c r="E121" s="1" t="s">
        <v>111</v>
      </c>
      <c r="F121" s="57" t="s">
        <v>145</v>
      </c>
      <c r="Q121" s="11"/>
    </row>
    <row r="122" spans="5:21" x14ac:dyDescent="0.45">
      <c r="E122" s="1" t="s">
        <v>110</v>
      </c>
      <c r="F122" t="s">
        <v>132</v>
      </c>
      <c r="Q122" s="11"/>
    </row>
    <row r="123" spans="5:21" x14ac:dyDescent="0.45">
      <c r="E123" s="1"/>
      <c r="F123" t="s">
        <v>162</v>
      </c>
      <c r="Q123" s="11"/>
    </row>
    <row r="124" spans="5:21" x14ac:dyDescent="0.45">
      <c r="E124" s="1" t="s">
        <v>113</v>
      </c>
      <c r="F124" t="s">
        <v>126</v>
      </c>
      <c r="Q124" s="11"/>
    </row>
    <row r="125" spans="5:21" x14ac:dyDescent="0.45">
      <c r="E125" s="1"/>
      <c r="F125" t="s">
        <v>163</v>
      </c>
      <c r="Q125" s="11"/>
    </row>
    <row r="126" spans="5:21" x14ac:dyDescent="0.45">
      <c r="E126" s="1"/>
      <c r="F126" t="s">
        <v>167</v>
      </c>
      <c r="Q126" s="11"/>
    </row>
    <row r="127" spans="5:21" x14ac:dyDescent="0.45">
      <c r="E127" s="1" t="s">
        <v>123</v>
      </c>
      <c r="F127" t="s">
        <v>133</v>
      </c>
      <c r="Q127" s="11"/>
    </row>
    <row r="128" spans="5:21" x14ac:dyDescent="0.45">
      <c r="E128" s="1" t="s">
        <v>124</v>
      </c>
      <c r="F128" t="s">
        <v>143</v>
      </c>
      <c r="Q128" s="11"/>
    </row>
    <row r="129" spans="5:17" x14ac:dyDescent="0.45">
      <c r="E129" s="1"/>
      <c r="F129" t="s">
        <v>164</v>
      </c>
      <c r="Q129" s="11"/>
    </row>
    <row r="130" spans="5:17" x14ac:dyDescent="0.45">
      <c r="E130" s="1" t="s">
        <v>125</v>
      </c>
      <c r="F130" t="s">
        <v>135</v>
      </c>
      <c r="Q130" s="11"/>
    </row>
    <row r="131" spans="5:17" x14ac:dyDescent="0.45">
      <c r="E131" s="1"/>
      <c r="F131" t="s">
        <v>134</v>
      </c>
      <c r="Q131" s="11"/>
    </row>
    <row r="132" spans="5:17" x14ac:dyDescent="0.45">
      <c r="E132" s="1"/>
      <c r="F132" t="s">
        <v>168</v>
      </c>
      <c r="Q132" s="11"/>
    </row>
    <row r="133" spans="5:17" x14ac:dyDescent="0.45">
      <c r="E133" s="1" t="s">
        <v>121</v>
      </c>
      <c r="F133" t="s">
        <v>138</v>
      </c>
      <c r="Q133" s="11"/>
    </row>
    <row r="134" spans="5:17" x14ac:dyDescent="0.45">
      <c r="E134" s="35" t="s">
        <v>112</v>
      </c>
      <c r="F134" s="36" t="s">
        <v>139</v>
      </c>
      <c r="G134" s="28"/>
      <c r="H134" s="28"/>
      <c r="I134" s="28"/>
      <c r="J134" s="29"/>
      <c r="K134" s="31"/>
    </row>
    <row r="135" spans="5:17" x14ac:dyDescent="0.45">
      <c r="F135" t="s">
        <v>165</v>
      </c>
      <c r="K135" s="30"/>
    </row>
    <row r="136" spans="5:17" x14ac:dyDescent="0.45">
      <c r="F136" t="s">
        <v>142</v>
      </c>
    </row>
    <row r="137" spans="5:17" x14ac:dyDescent="0.45">
      <c r="F137" t="s">
        <v>148</v>
      </c>
    </row>
    <row r="138" spans="5:17" x14ac:dyDescent="0.45">
      <c r="E138" s="1" t="s">
        <v>144</v>
      </c>
      <c r="F138" s="42" t="s">
        <v>169</v>
      </c>
      <c r="K138" s="30"/>
    </row>
    <row r="139" spans="5:17" x14ac:dyDescent="0.45">
      <c r="F139" s="42" t="s">
        <v>170</v>
      </c>
    </row>
    <row r="140" spans="5:17" x14ac:dyDescent="0.45">
      <c r="F140" s="42" t="s">
        <v>171</v>
      </c>
    </row>
    <row r="141" spans="5:17" x14ac:dyDescent="0.45">
      <c r="F141" s="42" t="s">
        <v>172</v>
      </c>
    </row>
    <row r="142" spans="5:17" x14ac:dyDescent="0.45">
      <c r="F142" s="42" t="s">
        <v>173</v>
      </c>
    </row>
    <row r="143" spans="5:17" x14ac:dyDescent="0.45">
      <c r="F143" s="42"/>
    </row>
    <row r="144" spans="5:17" x14ac:dyDescent="0.45">
      <c r="F144" t="s">
        <v>34</v>
      </c>
      <c r="G144" t="s">
        <v>160</v>
      </c>
      <c r="H144" t="s">
        <v>32</v>
      </c>
      <c r="I144" t="s">
        <v>160</v>
      </c>
      <c r="J144" s="19" t="s">
        <v>47</v>
      </c>
      <c r="K144" t="s">
        <v>160</v>
      </c>
      <c r="L144" s="17" t="s">
        <v>161</v>
      </c>
      <c r="M144" s="17" t="s">
        <v>160</v>
      </c>
    </row>
    <row r="145" spans="5:13" x14ac:dyDescent="0.45">
      <c r="E145" t="s">
        <v>151</v>
      </c>
      <c r="H145" s="55">
        <v>60</v>
      </c>
      <c r="I145">
        <v>500</v>
      </c>
      <c r="J145" s="55">
        <f>SUM(599.4*0.53)</f>
        <v>317.68200000000002</v>
      </c>
      <c r="K145">
        <v>500</v>
      </c>
      <c r="L145" s="55">
        <v>180</v>
      </c>
      <c r="M145">
        <v>500</v>
      </c>
    </row>
    <row r="146" spans="5:13" x14ac:dyDescent="0.45">
      <c r="E146" t="s">
        <v>152</v>
      </c>
      <c r="H146" s="55">
        <v>60</v>
      </c>
      <c r="I146">
        <v>500</v>
      </c>
      <c r="J146" s="55">
        <f>SUM(599.4*0.53)</f>
        <v>317.68200000000002</v>
      </c>
      <c r="K146">
        <v>500</v>
      </c>
      <c r="L146" s="55">
        <v>180</v>
      </c>
      <c r="M146">
        <v>500</v>
      </c>
    </row>
    <row r="147" spans="5:13" x14ac:dyDescent="0.45">
      <c r="E147" t="s">
        <v>153</v>
      </c>
      <c r="H147" s="55">
        <f>SUM(3*60)</f>
        <v>180</v>
      </c>
      <c r="I147">
        <v>500</v>
      </c>
      <c r="J147" s="55">
        <f>SUM(599.4*0.53)*3</f>
        <v>953.04600000000005</v>
      </c>
      <c r="K147">
        <v>500</v>
      </c>
      <c r="L147" s="55">
        <f>SUM(180*3)</f>
        <v>540</v>
      </c>
      <c r="M147">
        <v>500</v>
      </c>
    </row>
    <row r="148" spans="5:13" x14ac:dyDescent="0.45">
      <c r="E148" s="53" t="s">
        <v>154</v>
      </c>
      <c r="F148" s="53"/>
      <c r="G148" s="53"/>
      <c r="H148" s="56">
        <f>SUM(2*60)</f>
        <v>120</v>
      </c>
      <c r="I148" s="53">
        <v>500</v>
      </c>
      <c r="J148" s="56">
        <f>SUM(459.3*0.53)*2</f>
        <v>486.85800000000006</v>
      </c>
      <c r="K148" s="53">
        <v>500</v>
      </c>
      <c r="L148" s="56">
        <f>SUM(2*180)</f>
        <v>360</v>
      </c>
      <c r="M148" s="53">
        <v>500</v>
      </c>
    </row>
    <row r="149" spans="5:13" x14ac:dyDescent="0.45">
      <c r="E149" s="53" t="s">
        <v>155</v>
      </c>
      <c r="F149" s="53"/>
      <c r="G149" s="53"/>
      <c r="H149" s="56">
        <f>SUM(3*60)</f>
        <v>180</v>
      </c>
      <c r="I149" s="53">
        <v>500</v>
      </c>
      <c r="J149" s="56">
        <f>SUM(1166*0.53)</f>
        <v>617.98</v>
      </c>
      <c r="K149" s="53">
        <v>500</v>
      </c>
      <c r="L149" s="56">
        <f>SUM(180*3)</f>
        <v>540</v>
      </c>
      <c r="M149" s="53">
        <v>500</v>
      </c>
    </row>
    <row r="150" spans="5:13" x14ac:dyDescent="0.45">
      <c r="E150" s="53" t="s">
        <v>156</v>
      </c>
      <c r="F150" s="53"/>
      <c r="G150" s="53"/>
      <c r="H150" s="56">
        <f>SUM(60*3)</f>
        <v>180</v>
      </c>
      <c r="I150" s="53">
        <v>500</v>
      </c>
      <c r="J150" s="56">
        <f>SUM(1055*0.53)</f>
        <v>559.15</v>
      </c>
      <c r="K150" s="53">
        <v>500</v>
      </c>
      <c r="L150" s="56">
        <f>SUM(180*2)</f>
        <v>360</v>
      </c>
      <c r="M150" s="53">
        <v>500</v>
      </c>
    </row>
    <row r="151" spans="5:13" x14ac:dyDescent="0.45">
      <c r="E151" s="54" t="s">
        <v>157</v>
      </c>
      <c r="F151" s="53"/>
      <c r="G151" s="53"/>
      <c r="H151" s="56">
        <f>SUM(60*3)</f>
        <v>180</v>
      </c>
      <c r="I151" s="53">
        <v>500</v>
      </c>
      <c r="J151" s="56">
        <f>SUM(1091.8*0.53)</f>
        <v>578.654</v>
      </c>
      <c r="K151" s="53">
        <v>500</v>
      </c>
      <c r="L151" s="56">
        <f>SUM(180*2)</f>
        <v>360</v>
      </c>
      <c r="M151" s="53">
        <v>500</v>
      </c>
    </row>
    <row r="152" spans="5:13" x14ac:dyDescent="0.45">
      <c r="E152" t="s">
        <v>149</v>
      </c>
      <c r="F152" s="55">
        <v>550</v>
      </c>
      <c r="G152">
        <v>200</v>
      </c>
      <c r="H152" s="55">
        <v>60</v>
      </c>
      <c r="I152">
        <v>200</v>
      </c>
      <c r="J152" s="55">
        <f>SUM(599.4*0.53)</f>
        <v>317.68200000000002</v>
      </c>
      <c r="K152">
        <v>200</v>
      </c>
      <c r="L152" s="55">
        <v>180</v>
      </c>
      <c r="M152">
        <v>200</v>
      </c>
    </row>
    <row r="153" spans="5:13" x14ac:dyDescent="0.45">
      <c r="E153" t="s">
        <v>158</v>
      </c>
      <c r="F153" s="55"/>
      <c r="H153" s="55">
        <f>SUM(4*60)</f>
        <v>240</v>
      </c>
      <c r="I153">
        <v>500</v>
      </c>
      <c r="J153" s="55">
        <f>SUM(599.4*0.53)*4</f>
        <v>1270.7280000000001</v>
      </c>
      <c r="K153">
        <v>500</v>
      </c>
      <c r="L153" s="55">
        <f>SUM(4*180)</f>
        <v>720</v>
      </c>
      <c r="M153">
        <v>500</v>
      </c>
    </row>
    <row r="154" spans="5:13" x14ac:dyDescent="0.45">
      <c r="E154" s="53" t="s">
        <v>150</v>
      </c>
      <c r="F154" s="53"/>
      <c r="G154" s="53"/>
      <c r="H154" s="56">
        <f>SUM(60*2)</f>
        <v>120</v>
      </c>
      <c r="I154" s="53">
        <v>200</v>
      </c>
      <c r="J154" s="56">
        <f>SUM(599.4*0.53)*2</f>
        <v>635.36400000000003</v>
      </c>
      <c r="K154" s="53">
        <v>200</v>
      </c>
      <c r="L154" s="56">
        <f>SUM(180*2)</f>
        <v>360</v>
      </c>
      <c r="M154" s="53">
        <v>200</v>
      </c>
    </row>
    <row r="155" spans="5:13" x14ac:dyDescent="0.45">
      <c r="E155" t="s">
        <v>159</v>
      </c>
      <c r="H155" s="55">
        <f>SUM(7*60)</f>
        <v>420</v>
      </c>
      <c r="I155">
        <v>500</v>
      </c>
      <c r="J155" s="55">
        <v>800</v>
      </c>
      <c r="K155">
        <v>500</v>
      </c>
      <c r="L155" s="55">
        <f>SUM(180*7)</f>
        <v>1260</v>
      </c>
      <c r="M155">
        <v>500</v>
      </c>
    </row>
    <row r="156" spans="5:13" x14ac:dyDescent="0.45">
      <c r="H156" s="55"/>
      <c r="J156" s="55"/>
      <c r="L156" s="55"/>
    </row>
    <row r="157" spans="5:13" x14ac:dyDescent="0.45">
      <c r="F157" t="s">
        <v>54</v>
      </c>
      <c r="G157" s="17" t="s">
        <v>160</v>
      </c>
      <c r="H157" t="s">
        <v>70</v>
      </c>
      <c r="I157" s="17" t="s">
        <v>160</v>
      </c>
      <c r="J157" t="s">
        <v>99</v>
      </c>
      <c r="K157" s="17" t="s">
        <v>160</v>
      </c>
      <c r="L157" t="s">
        <v>101</v>
      </c>
      <c r="M157" s="17" t="s">
        <v>160</v>
      </c>
    </row>
    <row r="158" spans="5:13" x14ac:dyDescent="0.45">
      <c r="E158" s="53" t="s">
        <v>175</v>
      </c>
      <c r="F158" s="56">
        <v>646</v>
      </c>
      <c r="G158" s="53">
        <v>800</v>
      </c>
      <c r="H158" s="56">
        <f>SUM(4*73)</f>
        <v>292</v>
      </c>
      <c r="I158" s="53">
        <v>800</v>
      </c>
      <c r="J158" s="56">
        <f>SUM(2*6)</f>
        <v>12</v>
      </c>
      <c r="K158" s="53">
        <v>800</v>
      </c>
      <c r="L158" s="56">
        <v>50</v>
      </c>
      <c r="M158" s="53">
        <v>800</v>
      </c>
    </row>
  </sheetData>
  <pageMargins left="0.25" right="0.25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Thielen</dc:creator>
  <cp:lastModifiedBy>Amanda Thielen</cp:lastModifiedBy>
  <cp:lastPrinted>2022-10-12T19:26:52Z</cp:lastPrinted>
  <dcterms:created xsi:type="dcterms:W3CDTF">2016-10-30T02:06:26Z</dcterms:created>
  <dcterms:modified xsi:type="dcterms:W3CDTF">2022-11-15T03:00:02Z</dcterms:modified>
</cp:coreProperties>
</file>